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tem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57" i="1" l="1"/>
  <c r="D3555" i="1"/>
  <c r="D3553" i="1"/>
  <c r="D3551" i="1"/>
  <c r="D3549" i="1"/>
  <c r="D3547" i="1"/>
  <c r="D3545" i="1"/>
  <c r="D3543" i="1"/>
  <c r="D3541" i="1"/>
  <c r="D3539" i="1"/>
  <c r="D3537" i="1"/>
  <c r="D3535" i="1"/>
  <c r="D3533" i="1"/>
  <c r="D3531" i="1"/>
  <c r="D3529" i="1"/>
  <c r="D3527" i="1"/>
  <c r="D3525" i="1"/>
  <c r="D3523" i="1"/>
  <c r="D3521" i="1"/>
  <c r="D3519" i="1"/>
  <c r="D3517" i="1"/>
  <c r="D3515" i="1"/>
  <c r="D3513" i="1"/>
  <c r="D3511" i="1"/>
  <c r="D3509" i="1"/>
  <c r="D3507" i="1"/>
  <c r="D3505" i="1"/>
  <c r="D3503" i="1"/>
  <c r="D3501" i="1"/>
  <c r="D3499" i="1"/>
  <c r="D3497" i="1"/>
  <c r="D3495" i="1"/>
  <c r="D3493" i="1"/>
  <c r="D3491" i="1"/>
  <c r="D3489" i="1"/>
  <c r="D3487" i="1"/>
  <c r="D3485" i="1"/>
  <c r="D3483" i="1"/>
  <c r="D3481" i="1"/>
  <c r="D3479" i="1"/>
  <c r="D3477" i="1"/>
  <c r="D3475" i="1"/>
  <c r="D3473" i="1"/>
  <c r="D3471" i="1"/>
  <c r="D3469" i="1"/>
  <c r="D3467" i="1"/>
  <c r="D3465" i="1"/>
  <c r="D3463" i="1"/>
  <c r="D3461" i="1"/>
  <c r="D3459" i="1"/>
  <c r="D3457" i="1"/>
  <c r="D3455" i="1"/>
  <c r="D3453" i="1"/>
  <c r="D3451" i="1"/>
  <c r="D3449" i="1"/>
  <c r="D3447" i="1"/>
  <c r="D3445" i="1"/>
  <c r="D3443" i="1"/>
  <c r="D3441" i="1"/>
  <c r="D3439" i="1"/>
  <c r="D3437" i="1"/>
  <c r="D3435" i="1"/>
  <c r="D3433" i="1"/>
  <c r="D3431" i="1"/>
  <c r="D3429" i="1"/>
  <c r="D3427" i="1"/>
  <c r="D3425" i="1"/>
  <c r="D3423" i="1"/>
  <c r="D3421" i="1"/>
  <c r="D3419" i="1"/>
  <c r="D3417" i="1"/>
  <c r="D3415" i="1"/>
  <c r="D3413" i="1"/>
  <c r="D3411" i="1"/>
  <c r="D3409" i="1"/>
  <c r="D3407" i="1"/>
  <c r="D3405" i="1"/>
  <c r="D3403" i="1"/>
  <c r="D3401" i="1"/>
  <c r="D3399" i="1"/>
  <c r="D3397" i="1"/>
  <c r="D3395" i="1"/>
  <c r="D3393" i="1"/>
  <c r="D3391" i="1"/>
  <c r="D3389" i="1"/>
  <c r="D3387" i="1"/>
  <c r="D3385" i="1"/>
  <c r="D3383" i="1"/>
  <c r="D3381" i="1"/>
  <c r="D3379" i="1"/>
  <c r="D3377" i="1"/>
  <c r="D3375" i="1"/>
  <c r="D3373" i="1"/>
  <c r="D3371" i="1"/>
  <c r="D3369" i="1"/>
  <c r="D3367" i="1"/>
  <c r="D3365" i="1"/>
  <c r="D3363" i="1"/>
  <c r="D3361" i="1"/>
  <c r="D3359" i="1"/>
  <c r="D3357" i="1"/>
  <c r="D3355" i="1"/>
  <c r="D3353" i="1"/>
  <c r="D3351" i="1"/>
  <c r="D3349" i="1"/>
  <c r="D3347" i="1"/>
  <c r="D3345" i="1"/>
  <c r="D3343" i="1"/>
  <c r="D3341" i="1"/>
  <c r="D3339" i="1"/>
  <c r="D3337" i="1"/>
  <c r="D3335" i="1"/>
  <c r="D3333" i="1"/>
  <c r="D3331" i="1"/>
  <c r="D3329" i="1"/>
  <c r="D3327" i="1"/>
  <c r="D3325" i="1"/>
  <c r="D3323" i="1"/>
  <c r="D3321" i="1"/>
  <c r="D3319" i="1"/>
  <c r="D3317" i="1"/>
  <c r="D3315" i="1"/>
  <c r="D3313" i="1"/>
  <c r="D3311" i="1"/>
  <c r="D3309" i="1"/>
  <c r="D3307" i="1"/>
  <c r="D3305" i="1"/>
  <c r="C3557" i="1"/>
  <c r="C3555" i="1"/>
  <c r="C3553" i="1"/>
  <c r="C3551" i="1"/>
  <c r="C3549" i="1"/>
  <c r="C3547" i="1"/>
  <c r="C3545" i="1"/>
  <c r="C3543" i="1"/>
  <c r="C3541" i="1"/>
  <c r="C3539" i="1"/>
  <c r="C3537" i="1"/>
  <c r="C3535" i="1"/>
  <c r="C3533" i="1"/>
  <c r="C3531" i="1"/>
  <c r="C3529" i="1"/>
  <c r="C3527" i="1"/>
  <c r="C3525" i="1"/>
  <c r="C3523" i="1"/>
  <c r="C3521" i="1"/>
  <c r="C3519" i="1"/>
  <c r="C3517" i="1"/>
  <c r="C3515" i="1"/>
  <c r="C3513" i="1"/>
  <c r="C3511" i="1"/>
  <c r="C3509" i="1"/>
  <c r="C3507" i="1"/>
  <c r="C3505" i="1"/>
  <c r="C3503" i="1"/>
  <c r="C3501" i="1"/>
  <c r="C3499" i="1"/>
  <c r="C3497" i="1"/>
  <c r="C3495" i="1"/>
  <c r="C3493" i="1"/>
  <c r="C3491" i="1"/>
  <c r="C3489" i="1"/>
  <c r="C3487" i="1"/>
  <c r="C3485" i="1"/>
  <c r="C3483" i="1"/>
  <c r="C3481" i="1"/>
  <c r="C3479" i="1"/>
  <c r="C3477" i="1"/>
  <c r="C3475" i="1"/>
  <c r="C3473" i="1"/>
  <c r="C3471" i="1"/>
  <c r="C3469" i="1"/>
  <c r="C3467" i="1"/>
  <c r="C3465" i="1"/>
  <c r="C3463" i="1"/>
  <c r="C3461" i="1"/>
  <c r="C3459" i="1"/>
  <c r="C3457" i="1"/>
  <c r="C3455" i="1"/>
  <c r="C3453" i="1"/>
  <c r="C3451" i="1"/>
  <c r="C3449" i="1"/>
  <c r="C3447" i="1"/>
  <c r="C3445" i="1"/>
  <c r="C3443" i="1"/>
  <c r="C3441" i="1"/>
  <c r="C3439" i="1"/>
  <c r="D3556" i="1"/>
  <c r="D3552" i="1"/>
  <c r="D3548" i="1"/>
  <c r="D3544" i="1"/>
  <c r="D3540" i="1"/>
  <c r="D3536" i="1"/>
  <c r="D3532" i="1"/>
  <c r="D3528" i="1"/>
  <c r="D3524" i="1"/>
  <c r="D3520" i="1"/>
  <c r="D3516" i="1"/>
  <c r="D3512" i="1"/>
  <c r="D3508" i="1"/>
  <c r="D3504" i="1"/>
  <c r="D3500" i="1"/>
  <c r="D3496" i="1"/>
  <c r="D3492" i="1"/>
  <c r="D3488" i="1"/>
  <c r="D3484" i="1"/>
  <c r="D3480" i="1"/>
  <c r="D3476" i="1"/>
  <c r="D3472" i="1"/>
  <c r="D3468" i="1"/>
  <c r="D3464" i="1"/>
  <c r="D3460" i="1"/>
  <c r="D3456" i="1"/>
  <c r="D3452" i="1"/>
  <c r="D3448" i="1"/>
  <c r="D3444" i="1"/>
  <c r="D3440" i="1"/>
  <c r="C3437" i="1"/>
  <c r="D3434" i="1"/>
  <c r="C3432" i="1"/>
  <c r="C3429" i="1"/>
  <c r="D3426" i="1"/>
  <c r="C3424" i="1"/>
  <c r="C3421" i="1"/>
  <c r="D3418" i="1"/>
  <c r="C3416" i="1"/>
  <c r="C3413" i="1"/>
  <c r="D3410" i="1"/>
  <c r="C3408" i="1"/>
  <c r="C3405" i="1"/>
  <c r="D3402" i="1"/>
  <c r="C3400" i="1"/>
  <c r="C3397" i="1"/>
  <c r="D3394" i="1"/>
  <c r="C3392" i="1"/>
  <c r="C3389" i="1"/>
  <c r="D3386" i="1"/>
  <c r="C3384" i="1"/>
  <c r="C3381" i="1"/>
  <c r="D3378" i="1"/>
  <c r="C3376" i="1"/>
  <c r="C3373" i="1"/>
  <c r="D3370" i="1"/>
  <c r="C3368" i="1"/>
  <c r="C3365" i="1"/>
  <c r="D3362" i="1"/>
  <c r="C3360" i="1"/>
  <c r="C3357" i="1"/>
  <c r="D3354" i="1"/>
  <c r="C3352" i="1"/>
  <c r="C3349" i="1"/>
  <c r="D3346" i="1"/>
  <c r="C3344" i="1"/>
  <c r="C3341" i="1"/>
  <c r="D3338" i="1"/>
  <c r="C3336" i="1"/>
  <c r="C3333" i="1"/>
  <c r="D3330" i="1"/>
  <c r="C3328" i="1"/>
  <c r="C3325" i="1"/>
  <c r="D3322" i="1"/>
  <c r="C3320" i="1"/>
  <c r="C3317" i="1"/>
  <c r="D3314" i="1"/>
  <c r="C3312" i="1"/>
  <c r="C3309" i="1"/>
  <c r="D3306" i="1"/>
  <c r="C3304" i="1"/>
  <c r="C3302" i="1"/>
  <c r="C3300" i="1"/>
  <c r="C3298" i="1"/>
  <c r="C3296" i="1"/>
  <c r="C3294" i="1"/>
  <c r="C3292" i="1"/>
  <c r="C3290" i="1"/>
  <c r="C3288" i="1"/>
  <c r="C3286" i="1"/>
  <c r="C3284" i="1"/>
  <c r="C3282" i="1"/>
  <c r="C3280" i="1"/>
  <c r="C3278" i="1"/>
  <c r="C3276" i="1"/>
  <c r="C3274" i="1"/>
  <c r="C3272" i="1"/>
  <c r="C3270" i="1"/>
  <c r="C3268" i="1"/>
  <c r="C3266" i="1"/>
  <c r="C3264" i="1"/>
  <c r="C3262" i="1"/>
  <c r="C3260" i="1"/>
  <c r="C3258" i="1"/>
  <c r="C3256" i="1"/>
  <c r="C3254" i="1"/>
  <c r="C3556" i="1"/>
  <c r="C3552" i="1"/>
  <c r="C3548" i="1"/>
  <c r="C3544" i="1"/>
  <c r="C3540" i="1"/>
  <c r="C3536" i="1"/>
  <c r="C3532" i="1"/>
  <c r="C3528" i="1"/>
  <c r="C3524" i="1"/>
  <c r="C3520" i="1"/>
  <c r="C3516" i="1"/>
  <c r="C3512" i="1"/>
  <c r="C3508" i="1"/>
  <c r="C3504" i="1"/>
  <c r="C3500" i="1"/>
  <c r="C3496" i="1"/>
  <c r="C3492" i="1"/>
  <c r="C3488" i="1"/>
  <c r="C3484" i="1"/>
  <c r="C3480" i="1"/>
  <c r="C3476" i="1"/>
  <c r="C3472" i="1"/>
  <c r="C3468" i="1"/>
  <c r="C3464" i="1"/>
  <c r="C3460" i="1"/>
  <c r="C3456" i="1"/>
  <c r="C3452" i="1"/>
  <c r="C3448" i="1"/>
  <c r="C3444" i="1"/>
  <c r="C3440" i="1"/>
  <c r="D3436" i="1"/>
  <c r="C3434" i="1"/>
  <c r="C3431" i="1"/>
  <c r="D3428" i="1"/>
  <c r="C3426" i="1"/>
  <c r="C3423" i="1"/>
  <c r="D3420" i="1"/>
  <c r="C3418" i="1"/>
  <c r="C3415" i="1"/>
  <c r="D3412" i="1"/>
  <c r="C3410" i="1"/>
  <c r="C3407" i="1"/>
  <c r="D3404" i="1"/>
  <c r="C3402" i="1"/>
  <c r="C3399" i="1"/>
  <c r="D3396" i="1"/>
  <c r="C3394" i="1"/>
  <c r="C3391" i="1"/>
  <c r="D3388" i="1"/>
  <c r="C3386" i="1"/>
  <c r="C3383" i="1"/>
  <c r="D3380" i="1"/>
  <c r="C3378" i="1"/>
  <c r="C3375" i="1"/>
  <c r="D3372" i="1"/>
  <c r="C3370" i="1"/>
  <c r="C3367" i="1"/>
  <c r="D3364" i="1"/>
  <c r="C3362" i="1"/>
  <c r="C3359" i="1"/>
  <c r="D3356" i="1"/>
  <c r="C3354" i="1"/>
  <c r="C3351" i="1"/>
  <c r="D3348" i="1"/>
  <c r="C3346" i="1"/>
  <c r="C3343" i="1"/>
  <c r="D3340" i="1"/>
  <c r="C3338" i="1"/>
  <c r="C3335" i="1"/>
  <c r="D3332" i="1"/>
  <c r="C3330" i="1"/>
  <c r="C3327" i="1"/>
  <c r="D3324" i="1"/>
  <c r="C3322" i="1"/>
  <c r="C3319" i="1"/>
  <c r="D3316" i="1"/>
  <c r="C3314" i="1"/>
  <c r="C3311" i="1"/>
  <c r="D3308" i="1"/>
  <c r="C3306" i="1"/>
  <c r="D3303" i="1"/>
  <c r="D3301" i="1"/>
  <c r="D3299" i="1"/>
  <c r="D3297" i="1"/>
  <c r="D3295" i="1"/>
  <c r="D3293" i="1"/>
  <c r="D3291" i="1"/>
  <c r="D3289" i="1"/>
  <c r="D3287" i="1"/>
  <c r="D3285" i="1"/>
  <c r="D3283" i="1"/>
  <c r="D3281" i="1"/>
  <c r="D3279" i="1"/>
  <c r="D3277" i="1"/>
  <c r="D3275" i="1"/>
  <c r="D3273" i="1"/>
  <c r="D3271" i="1"/>
  <c r="D3269" i="1"/>
  <c r="D3267" i="1"/>
  <c r="D3265" i="1"/>
  <c r="D3263" i="1"/>
  <c r="D3261" i="1"/>
  <c r="D3259" i="1"/>
  <c r="D3257" i="1"/>
  <c r="D3255" i="1"/>
  <c r="D3253" i="1"/>
  <c r="D3251" i="1"/>
  <c r="D3554" i="1"/>
  <c r="D3550" i="1"/>
  <c r="D3546" i="1"/>
  <c r="D3542" i="1"/>
  <c r="D3538" i="1"/>
  <c r="D3534" i="1"/>
  <c r="D3530" i="1"/>
  <c r="D3526" i="1"/>
  <c r="D3522" i="1"/>
  <c r="D3518" i="1"/>
  <c r="D3514" i="1"/>
  <c r="D3510" i="1"/>
  <c r="D3506" i="1"/>
  <c r="D3502" i="1"/>
  <c r="D3498" i="1"/>
  <c r="D3494" i="1"/>
  <c r="D3490" i="1"/>
  <c r="D3486" i="1"/>
  <c r="D3482" i="1"/>
  <c r="D3478" i="1"/>
  <c r="D3474" i="1"/>
  <c r="D3470" i="1"/>
  <c r="D3466" i="1"/>
  <c r="D3462" i="1"/>
  <c r="D3458" i="1"/>
  <c r="D3454" i="1"/>
  <c r="D3450" i="1"/>
  <c r="D3446" i="1"/>
  <c r="D3442" i="1"/>
  <c r="D3438" i="1"/>
  <c r="C3436" i="1"/>
  <c r="C3433" i="1"/>
  <c r="D3430" i="1"/>
  <c r="C3428" i="1"/>
  <c r="C3425" i="1"/>
  <c r="D3422" i="1"/>
  <c r="C3420" i="1"/>
  <c r="C3417" i="1"/>
  <c r="D3414" i="1"/>
  <c r="C3412" i="1"/>
  <c r="C3409" i="1"/>
  <c r="D3406" i="1"/>
  <c r="C3404" i="1"/>
  <c r="C3401" i="1"/>
  <c r="D3398" i="1"/>
  <c r="C3396" i="1"/>
  <c r="C3393" i="1"/>
  <c r="D3390" i="1"/>
  <c r="C3388" i="1"/>
  <c r="C3385" i="1"/>
  <c r="D3382" i="1"/>
  <c r="C3380" i="1"/>
  <c r="C3377" i="1"/>
  <c r="D3374" i="1"/>
  <c r="C3372" i="1"/>
  <c r="C3369" i="1"/>
  <c r="D3366" i="1"/>
  <c r="C3364" i="1"/>
  <c r="C3361" i="1"/>
  <c r="D3358" i="1"/>
  <c r="C3356" i="1"/>
  <c r="C3353" i="1"/>
  <c r="D3350" i="1"/>
  <c r="C3348" i="1"/>
  <c r="C3345" i="1"/>
  <c r="D3342" i="1"/>
  <c r="C3340" i="1"/>
  <c r="C3337" i="1"/>
  <c r="D3334" i="1"/>
  <c r="C3332" i="1"/>
  <c r="C3329" i="1"/>
  <c r="D3326" i="1"/>
  <c r="C3324" i="1"/>
  <c r="C3321" i="1"/>
  <c r="D3318" i="1"/>
  <c r="C3316" i="1"/>
  <c r="C3313" i="1"/>
  <c r="D3310" i="1"/>
  <c r="C3308" i="1"/>
  <c r="C3305" i="1"/>
  <c r="C3303" i="1"/>
  <c r="C3301" i="1"/>
  <c r="C3299" i="1"/>
  <c r="C3297" i="1"/>
  <c r="C3295" i="1"/>
  <c r="C3293" i="1"/>
  <c r="C3291" i="1"/>
  <c r="C3289" i="1"/>
  <c r="C3287" i="1"/>
  <c r="C3285" i="1"/>
  <c r="C3283" i="1"/>
  <c r="C3281" i="1"/>
  <c r="C3279" i="1"/>
  <c r="C3277" i="1"/>
  <c r="C3275" i="1"/>
  <c r="C3273" i="1"/>
  <c r="C3271" i="1"/>
  <c r="C3269" i="1"/>
  <c r="C3267" i="1"/>
  <c r="C3265" i="1"/>
  <c r="C3263" i="1"/>
  <c r="C3261" i="1"/>
  <c r="C3259" i="1"/>
  <c r="C3257" i="1"/>
  <c r="C3255" i="1"/>
  <c r="C3253" i="1"/>
  <c r="C3251" i="1"/>
  <c r="C3249" i="1"/>
  <c r="C3247" i="1"/>
  <c r="C3245" i="1"/>
  <c r="C3243" i="1"/>
  <c r="C3241" i="1"/>
  <c r="C3239" i="1"/>
  <c r="C3237" i="1"/>
  <c r="C3235" i="1"/>
  <c r="C3233" i="1"/>
  <c r="C3231" i="1"/>
  <c r="C3229" i="1"/>
  <c r="C3227" i="1"/>
  <c r="C3225" i="1"/>
  <c r="C3223" i="1"/>
  <c r="C3221" i="1"/>
  <c r="C3219" i="1"/>
  <c r="C3217" i="1"/>
  <c r="C3215" i="1"/>
  <c r="C3213" i="1"/>
  <c r="C3211" i="1"/>
  <c r="C3554" i="1"/>
  <c r="C3538" i="1"/>
  <c r="C3522" i="1"/>
  <c r="C3506" i="1"/>
  <c r="C3490" i="1"/>
  <c r="C3474" i="1"/>
  <c r="C3458" i="1"/>
  <c r="C3442" i="1"/>
  <c r="C3430" i="1"/>
  <c r="C3419" i="1"/>
  <c r="D3408" i="1"/>
  <c r="C3398" i="1"/>
  <c r="C3387" i="1"/>
  <c r="D3376" i="1"/>
  <c r="C3366" i="1"/>
  <c r="C3355" i="1"/>
  <c r="D3344" i="1"/>
  <c r="C3334" i="1"/>
  <c r="C3323" i="1"/>
  <c r="D3312" i="1"/>
  <c r="D3302" i="1"/>
  <c r="D3294" i="1"/>
  <c r="D3286" i="1"/>
  <c r="D3278" i="1"/>
  <c r="D3270" i="1"/>
  <c r="D3262" i="1"/>
  <c r="D3254" i="1"/>
  <c r="C3250" i="1"/>
  <c r="D3247" i="1"/>
  <c r="D3244" i="1"/>
  <c r="C3242" i="1"/>
  <c r="D3239" i="1"/>
  <c r="D3236" i="1"/>
  <c r="C3234" i="1"/>
  <c r="D3231" i="1"/>
  <c r="D3228" i="1"/>
  <c r="C3226" i="1"/>
  <c r="D3223" i="1"/>
  <c r="D3220" i="1"/>
  <c r="C3218" i="1"/>
  <c r="D3215" i="1"/>
  <c r="D3212" i="1"/>
  <c r="C3210" i="1"/>
  <c r="C3208" i="1"/>
  <c r="C3206" i="1"/>
  <c r="C3204" i="1"/>
  <c r="C3202" i="1"/>
  <c r="C3200" i="1"/>
  <c r="C3198" i="1"/>
  <c r="C3196" i="1"/>
  <c r="C3194" i="1"/>
  <c r="C3192" i="1"/>
  <c r="C3190" i="1"/>
  <c r="C3188" i="1"/>
  <c r="C3186" i="1"/>
  <c r="C3184" i="1"/>
  <c r="C3182" i="1"/>
  <c r="C3180" i="1"/>
  <c r="C3178" i="1"/>
  <c r="C3176" i="1"/>
  <c r="C3174" i="1"/>
  <c r="C3172" i="1"/>
  <c r="C3170" i="1"/>
  <c r="C3168" i="1"/>
  <c r="C3166" i="1"/>
  <c r="C3164" i="1"/>
  <c r="C3162" i="1"/>
  <c r="C3160" i="1"/>
  <c r="C3158" i="1"/>
  <c r="C3156" i="1"/>
  <c r="C3154" i="1"/>
  <c r="C3152" i="1"/>
  <c r="C3150" i="1"/>
  <c r="C3148" i="1"/>
  <c r="C3146" i="1"/>
  <c r="C3144" i="1"/>
  <c r="C3142" i="1"/>
  <c r="C3140" i="1"/>
  <c r="C3138" i="1"/>
  <c r="C3136" i="1"/>
  <c r="C3134" i="1"/>
  <c r="C3132" i="1"/>
  <c r="C3130" i="1"/>
  <c r="C3128" i="1"/>
  <c r="C3126" i="1"/>
  <c r="C3124" i="1"/>
  <c r="C3122" i="1"/>
  <c r="C3120" i="1"/>
  <c r="C3118" i="1"/>
  <c r="C3116" i="1"/>
  <c r="C3114" i="1"/>
  <c r="C3112" i="1"/>
  <c r="C3110" i="1"/>
  <c r="C3108" i="1"/>
  <c r="C3106" i="1"/>
  <c r="C3104" i="1"/>
  <c r="C3102" i="1"/>
  <c r="C3550" i="1"/>
  <c r="C3534" i="1"/>
  <c r="C3518" i="1"/>
  <c r="C3502" i="1"/>
  <c r="C3486" i="1"/>
  <c r="C3470" i="1"/>
  <c r="C3454" i="1"/>
  <c r="C3438" i="1"/>
  <c r="C3427" i="1"/>
  <c r="D3416" i="1"/>
  <c r="C3406" i="1"/>
  <c r="C3395" i="1"/>
  <c r="D3384" i="1"/>
  <c r="C3374" i="1"/>
  <c r="C3363" i="1"/>
  <c r="D3352" i="1"/>
  <c r="C3342" i="1"/>
  <c r="C3331" i="1"/>
  <c r="D3320" i="1"/>
  <c r="C3310" i="1"/>
  <c r="D3300" i="1"/>
  <c r="D3292" i="1"/>
  <c r="D3284" i="1"/>
  <c r="D3276" i="1"/>
  <c r="D3268" i="1"/>
  <c r="D3260" i="1"/>
  <c r="D3252" i="1"/>
  <c r="D3249" i="1"/>
  <c r="D3246" i="1"/>
  <c r="C3244" i="1"/>
  <c r="D3241" i="1"/>
  <c r="D3238" i="1"/>
  <c r="C3236" i="1"/>
  <c r="D3233" i="1"/>
  <c r="D3230" i="1"/>
  <c r="C3228" i="1"/>
  <c r="D3225" i="1"/>
  <c r="D3222" i="1"/>
  <c r="C3220" i="1"/>
  <c r="D3217" i="1"/>
  <c r="D3214" i="1"/>
  <c r="C3212" i="1"/>
  <c r="D3209" i="1"/>
  <c r="D3207" i="1"/>
  <c r="D3205" i="1"/>
  <c r="D3203" i="1"/>
  <c r="D3201" i="1"/>
  <c r="D3199" i="1"/>
  <c r="D3197" i="1"/>
  <c r="D3195" i="1"/>
  <c r="D3193" i="1"/>
  <c r="D3191" i="1"/>
  <c r="D3189" i="1"/>
  <c r="D3187" i="1"/>
  <c r="D3185" i="1"/>
  <c r="D3183" i="1"/>
  <c r="D3181" i="1"/>
  <c r="D3179" i="1"/>
  <c r="D3177" i="1"/>
  <c r="D3175" i="1"/>
  <c r="D3173" i="1"/>
  <c r="D3171" i="1"/>
  <c r="D3169" i="1"/>
  <c r="D3167" i="1"/>
  <c r="D3165" i="1"/>
  <c r="D3163" i="1"/>
  <c r="D3161" i="1"/>
  <c r="D3159" i="1"/>
  <c r="D3157" i="1"/>
  <c r="D3155" i="1"/>
  <c r="D3153" i="1"/>
  <c r="D3151" i="1"/>
  <c r="D3149" i="1"/>
  <c r="D3147" i="1"/>
  <c r="D3145" i="1"/>
  <c r="D3143" i="1"/>
  <c r="D3141" i="1"/>
  <c r="D3139" i="1"/>
  <c r="D3137" i="1"/>
  <c r="D3135" i="1"/>
  <c r="D3133" i="1"/>
  <c r="D3131" i="1"/>
  <c r="D3129" i="1"/>
  <c r="D3127" i="1"/>
  <c r="D3125" i="1"/>
  <c r="D3123" i="1"/>
  <c r="D3121" i="1"/>
  <c r="D3119" i="1"/>
  <c r="D3117" i="1"/>
  <c r="D3115" i="1"/>
  <c r="D3113" i="1"/>
  <c r="D3111" i="1"/>
  <c r="D3109" i="1"/>
  <c r="D3107" i="1"/>
  <c r="D3105" i="1"/>
  <c r="D3103" i="1"/>
  <c r="D3101" i="1"/>
  <c r="D3099" i="1"/>
  <c r="D3097" i="1"/>
  <c r="D3095" i="1"/>
  <c r="D3093" i="1"/>
  <c r="D3091" i="1"/>
  <c r="D3089" i="1"/>
  <c r="D3087" i="1"/>
  <c r="D3085" i="1"/>
  <c r="D3083" i="1"/>
  <c r="D3081" i="1"/>
  <c r="D3079" i="1"/>
  <c r="D3077" i="1"/>
  <c r="D3075" i="1"/>
  <c r="D3073" i="1"/>
  <c r="D3071" i="1"/>
  <c r="D3069" i="1"/>
  <c r="D3067" i="1"/>
  <c r="D3065" i="1"/>
  <c r="D3063" i="1"/>
  <c r="D3061" i="1"/>
  <c r="D3059" i="1"/>
  <c r="D3057" i="1"/>
  <c r="D3055" i="1"/>
  <c r="D3053" i="1"/>
  <c r="D3051" i="1"/>
  <c r="D3049" i="1"/>
  <c r="D3047" i="1"/>
  <c r="D3045" i="1"/>
  <c r="D3043" i="1"/>
  <c r="D3041" i="1"/>
  <c r="C3546" i="1"/>
  <c r="C3530" i="1"/>
  <c r="C3514" i="1"/>
  <c r="C3498" i="1"/>
  <c r="C3482" i="1"/>
  <c r="C3466" i="1"/>
  <c r="C3450" i="1"/>
  <c r="C3435" i="1"/>
  <c r="D3424" i="1"/>
  <c r="C3414" i="1"/>
  <c r="C3403" i="1"/>
  <c r="D3392" i="1"/>
  <c r="C3382" i="1"/>
  <c r="C3371" i="1"/>
  <c r="D3360" i="1"/>
  <c r="C3350" i="1"/>
  <c r="C3339" i="1"/>
  <c r="D3328" i="1"/>
  <c r="C3318" i="1"/>
  <c r="C3307" i="1"/>
  <c r="D3298" i="1"/>
  <c r="D3290" i="1"/>
  <c r="D3282" i="1"/>
  <c r="D3274" i="1"/>
  <c r="D3266" i="1"/>
  <c r="D3258" i="1"/>
  <c r="C3252" i="1"/>
  <c r="D3248" i="1"/>
  <c r="C3246" i="1"/>
  <c r="D3243" i="1"/>
  <c r="D3240" i="1"/>
  <c r="C3238" i="1"/>
  <c r="D3235" i="1"/>
  <c r="D3232" i="1"/>
  <c r="C3230" i="1"/>
  <c r="D3227" i="1"/>
  <c r="D3224" i="1"/>
  <c r="C3222" i="1"/>
  <c r="D3219" i="1"/>
  <c r="D3216" i="1"/>
  <c r="C3214" i="1"/>
  <c r="D3211" i="1"/>
  <c r="C3209" i="1"/>
  <c r="C3207" i="1"/>
  <c r="C3205" i="1"/>
  <c r="C3203" i="1"/>
  <c r="C3201" i="1"/>
  <c r="C3199" i="1"/>
  <c r="C3197" i="1"/>
  <c r="C3195" i="1"/>
  <c r="C3193" i="1"/>
  <c r="C3191" i="1"/>
  <c r="C3189" i="1"/>
  <c r="C3187" i="1"/>
  <c r="C3185" i="1"/>
  <c r="C3183" i="1"/>
  <c r="C3181" i="1"/>
  <c r="C3179" i="1"/>
  <c r="C3177" i="1"/>
  <c r="C3175" i="1"/>
  <c r="C3173" i="1"/>
  <c r="C3171" i="1"/>
  <c r="C3169" i="1"/>
  <c r="C3167" i="1"/>
  <c r="C3165" i="1"/>
  <c r="C3163" i="1"/>
  <c r="C3161" i="1"/>
  <c r="C3159" i="1"/>
  <c r="C3157" i="1"/>
  <c r="C3155" i="1"/>
  <c r="C3153" i="1"/>
  <c r="C3151" i="1"/>
  <c r="C3149" i="1"/>
  <c r="C3147" i="1"/>
  <c r="C3145" i="1"/>
  <c r="C3143" i="1"/>
  <c r="C3141" i="1"/>
  <c r="C3139" i="1"/>
  <c r="C3137" i="1"/>
  <c r="C3135" i="1"/>
  <c r="C3133" i="1"/>
  <c r="C3131" i="1"/>
  <c r="C3129" i="1"/>
  <c r="C3127" i="1"/>
  <c r="C3125" i="1"/>
  <c r="C3123" i="1"/>
  <c r="C3121" i="1"/>
  <c r="C3119" i="1"/>
  <c r="C3117" i="1"/>
  <c r="C3115" i="1"/>
  <c r="C3113" i="1"/>
  <c r="C3111" i="1"/>
  <c r="C3109" i="1"/>
  <c r="C3107" i="1"/>
  <c r="C3105" i="1"/>
  <c r="C3103" i="1"/>
  <c r="C3101" i="1"/>
  <c r="C3542" i="1"/>
  <c r="C3478" i="1"/>
  <c r="C3422" i="1"/>
  <c r="C3379" i="1"/>
  <c r="D3336" i="1"/>
  <c r="D3296" i="1"/>
  <c r="D3264" i="1"/>
  <c r="D3245" i="1"/>
  <c r="D3234" i="1"/>
  <c r="C3224" i="1"/>
  <c r="D3213" i="1"/>
  <c r="D3204" i="1"/>
  <c r="D3196" i="1"/>
  <c r="D3188" i="1"/>
  <c r="D3180" i="1"/>
  <c r="D3172" i="1"/>
  <c r="D3164" i="1"/>
  <c r="D3156" i="1"/>
  <c r="D3148" i="1"/>
  <c r="D3140" i="1"/>
  <c r="D3132" i="1"/>
  <c r="D3124" i="1"/>
  <c r="D3116" i="1"/>
  <c r="D3108" i="1"/>
  <c r="D3100" i="1"/>
  <c r="C3098" i="1"/>
  <c r="C3095" i="1"/>
  <c r="D3092" i="1"/>
  <c r="C3090" i="1"/>
  <c r="C3087" i="1"/>
  <c r="D3084" i="1"/>
  <c r="C3082" i="1"/>
  <c r="C3079" i="1"/>
  <c r="D3076" i="1"/>
  <c r="C3074" i="1"/>
  <c r="C3071" i="1"/>
  <c r="D3068" i="1"/>
  <c r="C3066" i="1"/>
  <c r="C3063" i="1"/>
  <c r="D3060" i="1"/>
  <c r="C3058" i="1"/>
  <c r="C3055" i="1"/>
  <c r="D3052" i="1"/>
  <c r="C3050" i="1"/>
  <c r="C3047" i="1"/>
  <c r="D3044" i="1"/>
  <c r="C3042" i="1"/>
  <c r="D3039" i="1"/>
  <c r="D3037" i="1"/>
  <c r="D3035" i="1"/>
  <c r="D3033" i="1"/>
  <c r="D3031" i="1"/>
  <c r="D3029" i="1"/>
  <c r="D3027" i="1"/>
  <c r="D3025" i="1"/>
  <c r="D3023" i="1"/>
  <c r="D3021" i="1"/>
  <c r="D3019" i="1"/>
  <c r="D3017" i="1"/>
  <c r="D3015" i="1"/>
  <c r="D3013" i="1"/>
  <c r="D3011" i="1"/>
  <c r="D3009" i="1"/>
  <c r="D3007" i="1"/>
  <c r="D3005" i="1"/>
  <c r="D3003" i="1"/>
  <c r="D3001" i="1"/>
  <c r="D2999" i="1"/>
  <c r="D2997" i="1"/>
  <c r="D2995" i="1"/>
  <c r="D2993" i="1"/>
  <c r="D2991" i="1"/>
  <c r="D2989" i="1"/>
  <c r="D2987" i="1"/>
  <c r="D2985" i="1"/>
  <c r="D2983" i="1"/>
  <c r="D2981" i="1"/>
  <c r="D2979" i="1"/>
  <c r="D2977" i="1"/>
  <c r="D2975" i="1"/>
  <c r="D2973" i="1"/>
  <c r="D2971" i="1"/>
  <c r="D2969" i="1"/>
  <c r="D2967" i="1"/>
  <c r="D2965" i="1"/>
  <c r="D2963" i="1"/>
  <c r="D2961" i="1"/>
  <c r="D2959" i="1"/>
  <c r="D2957" i="1"/>
  <c r="D2955" i="1"/>
  <c r="D2953" i="1"/>
  <c r="D2951" i="1"/>
  <c r="D2949" i="1"/>
  <c r="D2947" i="1"/>
  <c r="D2945" i="1"/>
  <c r="D2943" i="1"/>
  <c r="D2941" i="1"/>
  <c r="D2939" i="1"/>
  <c r="D2937" i="1"/>
  <c r="D2935" i="1"/>
  <c r="D2933" i="1"/>
  <c r="D2931" i="1"/>
  <c r="D2929" i="1"/>
  <c r="D2927" i="1"/>
  <c r="D2925" i="1"/>
  <c r="D2923" i="1"/>
  <c r="D2921" i="1"/>
  <c r="D2919" i="1"/>
  <c r="D2917" i="1"/>
  <c r="D2915" i="1"/>
  <c r="D2913" i="1"/>
  <c r="D2911" i="1"/>
  <c r="D2909" i="1"/>
  <c r="D2907" i="1"/>
  <c r="D2905" i="1"/>
  <c r="D2903" i="1"/>
  <c r="D2901" i="1"/>
  <c r="D2899" i="1"/>
  <c r="D2897" i="1"/>
  <c r="D2895" i="1"/>
  <c r="D2893" i="1"/>
  <c r="D2891" i="1"/>
  <c r="D2889" i="1"/>
  <c r="D2887" i="1"/>
  <c r="D2885" i="1"/>
  <c r="D2883" i="1"/>
  <c r="D2881" i="1"/>
  <c r="D2879" i="1"/>
  <c r="D2877" i="1"/>
  <c r="D2875" i="1"/>
  <c r="D2873" i="1"/>
  <c r="D2871" i="1"/>
  <c r="D2869" i="1"/>
  <c r="D2867" i="1"/>
  <c r="D2865" i="1"/>
  <c r="D2863" i="1"/>
  <c r="D2861" i="1"/>
  <c r="D2859" i="1"/>
  <c r="D2857" i="1"/>
  <c r="D2855" i="1"/>
  <c r="D2853" i="1"/>
  <c r="D2851" i="1"/>
  <c r="D2849" i="1"/>
  <c r="D2847" i="1"/>
  <c r="D2845" i="1"/>
  <c r="D2843" i="1"/>
  <c r="D2841" i="1"/>
  <c r="D2839" i="1"/>
  <c r="D2837" i="1"/>
  <c r="D2835" i="1"/>
  <c r="D2833" i="1"/>
  <c r="D2831" i="1"/>
  <c r="D2829" i="1"/>
  <c r="D2827" i="1"/>
  <c r="D2825" i="1"/>
  <c r="D2823" i="1"/>
  <c r="D2821" i="1"/>
  <c r="D2819" i="1"/>
  <c r="D2817" i="1"/>
  <c r="D2815" i="1"/>
  <c r="D2813" i="1"/>
  <c r="D2811" i="1"/>
  <c r="D2809" i="1"/>
  <c r="D2807" i="1"/>
  <c r="D2805" i="1"/>
  <c r="D2803" i="1"/>
  <c r="D2801" i="1"/>
  <c r="D2799" i="1"/>
  <c r="D2797" i="1"/>
  <c r="D2795" i="1"/>
  <c r="D2793" i="1"/>
  <c r="D2791" i="1"/>
  <c r="D2789" i="1"/>
  <c r="D2787" i="1"/>
  <c r="D2785" i="1"/>
  <c r="D2783" i="1"/>
  <c r="D2781" i="1"/>
  <c r="D2779" i="1"/>
  <c r="D2777" i="1"/>
  <c r="D2775" i="1"/>
  <c r="D2773" i="1"/>
  <c r="D2771" i="1"/>
  <c r="D2769" i="1"/>
  <c r="D2767" i="1"/>
  <c r="D2765" i="1"/>
  <c r="D2763" i="1"/>
  <c r="D2761" i="1"/>
  <c r="D2759" i="1"/>
  <c r="D2757" i="1"/>
  <c r="D2755" i="1"/>
  <c r="D2753" i="1"/>
  <c r="D2751" i="1"/>
  <c r="D2749" i="1"/>
  <c r="D2747" i="1"/>
  <c r="D2745" i="1"/>
  <c r="D2743" i="1"/>
  <c r="D2741" i="1"/>
  <c r="D2739" i="1"/>
  <c r="D2737" i="1"/>
  <c r="D2735" i="1"/>
  <c r="D2733" i="1"/>
  <c r="D2731" i="1"/>
  <c r="D2729" i="1"/>
  <c r="D2727" i="1"/>
  <c r="D2725" i="1"/>
  <c r="D2723" i="1"/>
  <c r="D2721" i="1"/>
  <c r="D2719" i="1"/>
  <c r="D2717" i="1"/>
  <c r="D2715" i="1"/>
  <c r="D2713" i="1"/>
  <c r="D2711" i="1"/>
  <c r="D2709" i="1"/>
  <c r="D2707" i="1"/>
  <c r="D2705" i="1"/>
  <c r="D2703" i="1"/>
  <c r="D2701" i="1"/>
  <c r="D2699" i="1"/>
  <c r="D2697" i="1"/>
  <c r="C3526" i="1"/>
  <c r="C3462" i="1"/>
  <c r="C3411" i="1"/>
  <c r="D3368" i="1"/>
  <c r="C3326" i="1"/>
  <c r="D3288" i="1"/>
  <c r="D3256" i="1"/>
  <c r="D3242" i="1"/>
  <c r="C3232" i="1"/>
  <c r="D3221" i="1"/>
  <c r="D3210" i="1"/>
  <c r="D3202" i="1"/>
  <c r="D3194" i="1"/>
  <c r="D3186" i="1"/>
  <c r="D3178" i="1"/>
  <c r="D3170" i="1"/>
  <c r="D3162" i="1"/>
  <c r="D3154" i="1"/>
  <c r="D3146" i="1"/>
  <c r="D3138" i="1"/>
  <c r="D3130" i="1"/>
  <c r="D3122" i="1"/>
  <c r="D3114" i="1"/>
  <c r="D3106" i="1"/>
  <c r="C3100" i="1"/>
  <c r="C3097" i="1"/>
  <c r="D3094" i="1"/>
  <c r="C3092" i="1"/>
  <c r="C3089" i="1"/>
  <c r="D3086" i="1"/>
  <c r="C3084" i="1"/>
  <c r="C3081" i="1"/>
  <c r="D3078" i="1"/>
  <c r="C3076" i="1"/>
  <c r="C3073" i="1"/>
  <c r="D3070" i="1"/>
  <c r="C3068" i="1"/>
  <c r="C3065" i="1"/>
  <c r="D3062" i="1"/>
  <c r="C3060" i="1"/>
  <c r="C3057" i="1"/>
  <c r="D3054" i="1"/>
  <c r="C3052" i="1"/>
  <c r="C3049" i="1"/>
  <c r="D3046" i="1"/>
  <c r="C3044" i="1"/>
  <c r="C3041" i="1"/>
  <c r="C3039" i="1"/>
  <c r="C3037" i="1"/>
  <c r="C3035" i="1"/>
  <c r="C3033" i="1"/>
  <c r="C3031" i="1"/>
  <c r="C3029" i="1"/>
  <c r="C3027" i="1"/>
  <c r="C3025" i="1"/>
  <c r="C3023" i="1"/>
  <c r="C3021" i="1"/>
  <c r="C3019" i="1"/>
  <c r="C3017" i="1"/>
  <c r="C3015" i="1"/>
  <c r="C3013" i="1"/>
  <c r="C3011" i="1"/>
  <c r="C3009" i="1"/>
  <c r="C3007" i="1"/>
  <c r="C3005" i="1"/>
  <c r="C3003" i="1"/>
  <c r="C3001" i="1"/>
  <c r="C2999" i="1"/>
  <c r="C2997" i="1"/>
  <c r="C2995" i="1"/>
  <c r="C2993" i="1"/>
  <c r="C2991" i="1"/>
  <c r="C2989" i="1"/>
  <c r="C2987" i="1"/>
  <c r="C2985" i="1"/>
  <c r="C2983" i="1"/>
  <c r="C2981" i="1"/>
  <c r="C2979" i="1"/>
  <c r="C2977" i="1"/>
  <c r="C2975" i="1"/>
  <c r="C2973" i="1"/>
  <c r="C2971" i="1"/>
  <c r="C2969" i="1"/>
  <c r="C2967" i="1"/>
  <c r="C2965" i="1"/>
  <c r="C2963" i="1"/>
  <c r="C2961" i="1"/>
  <c r="C2959" i="1"/>
  <c r="C2957" i="1"/>
  <c r="C2955" i="1"/>
  <c r="C2953" i="1"/>
  <c r="C2951" i="1"/>
  <c r="C2949" i="1"/>
  <c r="C2947" i="1"/>
  <c r="C2945" i="1"/>
  <c r="C2943" i="1"/>
  <c r="C2941" i="1"/>
  <c r="C2939" i="1"/>
  <c r="C2937" i="1"/>
  <c r="C2935" i="1"/>
  <c r="C2933" i="1"/>
  <c r="C2931" i="1"/>
  <c r="C2929" i="1"/>
  <c r="C2927" i="1"/>
  <c r="C2925" i="1"/>
  <c r="C2923" i="1"/>
  <c r="C2921" i="1"/>
  <c r="C2919" i="1"/>
  <c r="C2917" i="1"/>
  <c r="C2915" i="1"/>
  <c r="C2913" i="1"/>
  <c r="C2911" i="1"/>
  <c r="C2909" i="1"/>
  <c r="C2907" i="1"/>
  <c r="C2905" i="1"/>
  <c r="C2903" i="1"/>
  <c r="C2901" i="1"/>
  <c r="C2899" i="1"/>
  <c r="C2897" i="1"/>
  <c r="C2895" i="1"/>
  <c r="C2893" i="1"/>
  <c r="C2891" i="1"/>
  <c r="C2889" i="1"/>
  <c r="C2887" i="1"/>
  <c r="C2885" i="1"/>
  <c r="C2883" i="1"/>
  <c r="C2881" i="1"/>
  <c r="C2879" i="1"/>
  <c r="C2877" i="1"/>
  <c r="C2875" i="1"/>
  <c r="C2873" i="1"/>
  <c r="C2871" i="1"/>
  <c r="C2869" i="1"/>
  <c r="C2867" i="1"/>
  <c r="C2865" i="1"/>
  <c r="C2863" i="1"/>
  <c r="C2861" i="1"/>
  <c r="C2859" i="1"/>
  <c r="C2857" i="1"/>
  <c r="C2855" i="1"/>
  <c r="C2853" i="1"/>
  <c r="C2851" i="1"/>
  <c r="C2849" i="1"/>
  <c r="C2847" i="1"/>
  <c r="C2845" i="1"/>
  <c r="C2843" i="1"/>
  <c r="C2841" i="1"/>
  <c r="C2839" i="1"/>
  <c r="C2837" i="1"/>
  <c r="C2835" i="1"/>
  <c r="C2833" i="1"/>
  <c r="C2831" i="1"/>
  <c r="C2829" i="1"/>
  <c r="C2827" i="1"/>
  <c r="C2825" i="1"/>
  <c r="C2823" i="1"/>
  <c r="C2821" i="1"/>
  <c r="C2819" i="1"/>
  <c r="C2817" i="1"/>
  <c r="C2815" i="1"/>
  <c r="C2813" i="1"/>
  <c r="C2811" i="1"/>
  <c r="C2809" i="1"/>
  <c r="C2807" i="1"/>
  <c r="C2805" i="1"/>
  <c r="C2803" i="1"/>
  <c r="C2801" i="1"/>
  <c r="C2799" i="1"/>
  <c r="C2797" i="1"/>
  <c r="C2795" i="1"/>
  <c r="C2793" i="1"/>
  <c r="C2791" i="1"/>
  <c r="C2789" i="1"/>
  <c r="C2787" i="1"/>
  <c r="C2785" i="1"/>
  <c r="C2783" i="1"/>
  <c r="C2781" i="1"/>
  <c r="C2779" i="1"/>
  <c r="C2777" i="1"/>
  <c r="C2775" i="1"/>
  <c r="C2773" i="1"/>
  <c r="C2771" i="1"/>
  <c r="C2769" i="1"/>
  <c r="C2767" i="1"/>
  <c r="C2765" i="1"/>
  <c r="C2763" i="1"/>
  <c r="C2761" i="1"/>
  <c r="C2759" i="1"/>
  <c r="C2757" i="1"/>
  <c r="C2755" i="1"/>
  <c r="C2753" i="1"/>
  <c r="C2751" i="1"/>
  <c r="C2749" i="1"/>
  <c r="C2747" i="1"/>
  <c r="C2745" i="1"/>
  <c r="C2743" i="1"/>
  <c r="C2741" i="1"/>
  <c r="C2739" i="1"/>
  <c r="C2737" i="1"/>
  <c r="C2735" i="1"/>
  <c r="C2733" i="1"/>
  <c r="C2731" i="1"/>
  <c r="C2729" i="1"/>
  <c r="C2727" i="1"/>
  <c r="C2725" i="1"/>
  <c r="C2723" i="1"/>
  <c r="C2721" i="1"/>
  <c r="C2719" i="1"/>
  <c r="C2717" i="1"/>
  <c r="C2715" i="1"/>
  <c r="C2713" i="1"/>
  <c r="C2711" i="1"/>
  <c r="C2709" i="1"/>
  <c r="C2707" i="1"/>
  <c r="C2705" i="1"/>
  <c r="C2703" i="1"/>
  <c r="C2701" i="1"/>
  <c r="C2699" i="1"/>
  <c r="C2697" i="1"/>
  <c r="C2695" i="1"/>
  <c r="C2693" i="1"/>
  <c r="C3510" i="1"/>
  <c r="C3446" i="1"/>
  <c r="D3400" i="1"/>
  <c r="C3358" i="1"/>
  <c r="C3315" i="1"/>
  <c r="D3280" i="1"/>
  <c r="D3250" i="1"/>
  <c r="C3240" i="1"/>
  <c r="D3229" i="1"/>
  <c r="D3218" i="1"/>
  <c r="D3208" i="1"/>
  <c r="D3200" i="1"/>
  <c r="D3192" i="1"/>
  <c r="D3184" i="1"/>
  <c r="D3176" i="1"/>
  <c r="D3168" i="1"/>
  <c r="D3160" i="1"/>
  <c r="D3152" i="1"/>
  <c r="D3144" i="1"/>
  <c r="D3136" i="1"/>
  <c r="D3128" i="1"/>
  <c r="D3120" i="1"/>
  <c r="D3112" i="1"/>
  <c r="D3104" i="1"/>
  <c r="C3099" i="1"/>
  <c r="D3096" i="1"/>
  <c r="C3094" i="1"/>
  <c r="C3091" i="1"/>
  <c r="D3088" i="1"/>
  <c r="C3086" i="1"/>
  <c r="C3083" i="1"/>
  <c r="D3080" i="1"/>
  <c r="C3078" i="1"/>
  <c r="C3075" i="1"/>
  <c r="D3072" i="1"/>
  <c r="C3070" i="1"/>
  <c r="C3067" i="1"/>
  <c r="D3064" i="1"/>
  <c r="C3062" i="1"/>
  <c r="C3059" i="1"/>
  <c r="D3056" i="1"/>
  <c r="C3054" i="1"/>
  <c r="C3051" i="1"/>
  <c r="D3048" i="1"/>
  <c r="C3046" i="1"/>
  <c r="C3043" i="1"/>
  <c r="D3040" i="1"/>
  <c r="D3038" i="1"/>
  <c r="D3036" i="1"/>
  <c r="D3034" i="1"/>
  <c r="D3032" i="1"/>
  <c r="D3030" i="1"/>
  <c r="D3028" i="1"/>
  <c r="D3026" i="1"/>
  <c r="D3024" i="1"/>
  <c r="D3022" i="1"/>
  <c r="D3020" i="1"/>
  <c r="D3018" i="1"/>
  <c r="D3016" i="1"/>
  <c r="D3014" i="1"/>
  <c r="D3012" i="1"/>
  <c r="D3010" i="1"/>
  <c r="D3008" i="1"/>
  <c r="D3006" i="1"/>
  <c r="D3004" i="1"/>
  <c r="D3002" i="1"/>
  <c r="D3000" i="1"/>
  <c r="D2998" i="1"/>
  <c r="D2996" i="1"/>
  <c r="D2994" i="1"/>
  <c r="D2992" i="1"/>
  <c r="D2990" i="1"/>
  <c r="D2988" i="1"/>
  <c r="D2986" i="1"/>
  <c r="D2984" i="1"/>
  <c r="D2982" i="1"/>
  <c r="D2980" i="1"/>
  <c r="D2978" i="1"/>
  <c r="D2976" i="1"/>
  <c r="D2974" i="1"/>
  <c r="D2972" i="1"/>
  <c r="D2970" i="1"/>
  <c r="D2968" i="1"/>
  <c r="D2966" i="1"/>
  <c r="D2964" i="1"/>
  <c r="D2962" i="1"/>
  <c r="D2960" i="1"/>
  <c r="D2958" i="1"/>
  <c r="D2956" i="1"/>
  <c r="D2954" i="1"/>
  <c r="D2952" i="1"/>
  <c r="D2950" i="1"/>
  <c r="D2948" i="1"/>
  <c r="D2946" i="1"/>
  <c r="D2944" i="1"/>
  <c r="D2942" i="1"/>
  <c r="D2940" i="1"/>
  <c r="D2938" i="1"/>
  <c r="D2936" i="1"/>
  <c r="D2934" i="1"/>
  <c r="D2932" i="1"/>
  <c r="D2930" i="1"/>
  <c r="D2928" i="1"/>
  <c r="D2926" i="1"/>
  <c r="D2924" i="1"/>
  <c r="D2922" i="1"/>
  <c r="D2920" i="1"/>
  <c r="D2918" i="1"/>
  <c r="D2916" i="1"/>
  <c r="D2914" i="1"/>
  <c r="D2912" i="1"/>
  <c r="D2910" i="1"/>
  <c r="D2908" i="1"/>
  <c r="D2906" i="1"/>
  <c r="D2904" i="1"/>
  <c r="D2902" i="1"/>
  <c r="D2900" i="1"/>
  <c r="D2898" i="1"/>
  <c r="D2896" i="1"/>
  <c r="D2894" i="1"/>
  <c r="D2892" i="1"/>
  <c r="D2890" i="1"/>
  <c r="D2888" i="1"/>
  <c r="D2886" i="1"/>
  <c r="D2884" i="1"/>
  <c r="D2882" i="1"/>
  <c r="D2880" i="1"/>
  <c r="D2878" i="1"/>
  <c r="D2876" i="1"/>
  <c r="D2874" i="1"/>
  <c r="D2872" i="1"/>
  <c r="D2870" i="1"/>
  <c r="D2868" i="1"/>
  <c r="D2866" i="1"/>
  <c r="D2864" i="1"/>
  <c r="D2862" i="1"/>
  <c r="D2860" i="1"/>
  <c r="D2858" i="1"/>
  <c r="D2856" i="1"/>
  <c r="D2854" i="1"/>
  <c r="D2852" i="1"/>
  <c r="D2850" i="1"/>
  <c r="D2848" i="1"/>
  <c r="D2846" i="1"/>
  <c r="D2844" i="1"/>
  <c r="D2842" i="1"/>
  <c r="D2840" i="1"/>
  <c r="D2838" i="1"/>
  <c r="D2836" i="1"/>
  <c r="D2834" i="1"/>
  <c r="D2832" i="1"/>
  <c r="D2830" i="1"/>
  <c r="D2828" i="1"/>
  <c r="D2826" i="1"/>
  <c r="D2824" i="1"/>
  <c r="D2822" i="1"/>
  <c r="D2820" i="1"/>
  <c r="D2818" i="1"/>
  <c r="D2816" i="1"/>
  <c r="D2814" i="1"/>
  <c r="D2812" i="1"/>
  <c r="D2810" i="1"/>
  <c r="D2808" i="1"/>
  <c r="D2806" i="1"/>
  <c r="D2804" i="1"/>
  <c r="D2802" i="1"/>
  <c r="D2800" i="1"/>
  <c r="D2798" i="1"/>
  <c r="D2796" i="1"/>
  <c r="D2794" i="1"/>
  <c r="D2792" i="1"/>
  <c r="D2790" i="1"/>
  <c r="D2788" i="1"/>
  <c r="D2786" i="1"/>
  <c r="D2784" i="1"/>
  <c r="D2782" i="1"/>
  <c r="D2780" i="1"/>
  <c r="D2778" i="1"/>
  <c r="D2776" i="1"/>
  <c r="D2774" i="1"/>
  <c r="D2772" i="1"/>
  <c r="D2770" i="1"/>
  <c r="D2768" i="1"/>
  <c r="D2766" i="1"/>
  <c r="D2764" i="1"/>
  <c r="D2762" i="1"/>
  <c r="D2760" i="1"/>
  <c r="D2758" i="1"/>
  <c r="D2756" i="1"/>
  <c r="D2754" i="1"/>
  <c r="D2752" i="1"/>
  <c r="D2750" i="1"/>
  <c r="D2748" i="1"/>
  <c r="D2746" i="1"/>
  <c r="D2744" i="1"/>
  <c r="D2742" i="1"/>
  <c r="D2740" i="1"/>
  <c r="D2738" i="1"/>
  <c r="D2736" i="1"/>
  <c r="D2734" i="1"/>
  <c r="D2732" i="1"/>
  <c r="D2730" i="1"/>
  <c r="D2728" i="1"/>
  <c r="D2726" i="1"/>
  <c r="D2724" i="1"/>
  <c r="D2722" i="1"/>
  <c r="D2720" i="1"/>
  <c r="D2718" i="1"/>
  <c r="D2716" i="1"/>
  <c r="D2714" i="1"/>
  <c r="D2712" i="1"/>
  <c r="D2710" i="1"/>
  <c r="D2708" i="1"/>
  <c r="D2706" i="1"/>
  <c r="D2704" i="1"/>
  <c r="D2702" i="1"/>
  <c r="D2700" i="1"/>
  <c r="D2698" i="1"/>
  <c r="D2696" i="1"/>
  <c r="D2694" i="1"/>
  <c r="D2692" i="1"/>
  <c r="D2690" i="1"/>
  <c r="D2688" i="1"/>
  <c r="D2686" i="1"/>
  <c r="D2684" i="1"/>
  <c r="D2682" i="1"/>
  <c r="D2680" i="1"/>
  <c r="D2678" i="1"/>
  <c r="D2676" i="1"/>
  <c r="D2674" i="1"/>
  <c r="D2672" i="1"/>
  <c r="D2670" i="1"/>
  <c r="D2668" i="1"/>
  <c r="D2666" i="1"/>
  <c r="D2664" i="1"/>
  <c r="D2662" i="1"/>
  <c r="D2660" i="1"/>
  <c r="D2658" i="1"/>
  <c r="D2656" i="1"/>
  <c r="D2654" i="1"/>
  <c r="D2652" i="1"/>
  <c r="D2650" i="1"/>
  <c r="D2648" i="1"/>
  <c r="D2646" i="1"/>
  <c r="D2644" i="1"/>
  <c r="D2642" i="1"/>
  <c r="D2640" i="1"/>
  <c r="D2638" i="1"/>
  <c r="D2636" i="1"/>
  <c r="D2634" i="1"/>
  <c r="D2632" i="1"/>
  <c r="D2630" i="1"/>
  <c r="D2628" i="1"/>
  <c r="D2626" i="1"/>
  <c r="D2624" i="1"/>
  <c r="C3494" i="1"/>
  <c r="D3304" i="1"/>
  <c r="D3226" i="1"/>
  <c r="D3190" i="1"/>
  <c r="D3158" i="1"/>
  <c r="D3126" i="1"/>
  <c r="D3098" i="1"/>
  <c r="C3088" i="1"/>
  <c r="C3077" i="1"/>
  <c r="D3066" i="1"/>
  <c r="C3056" i="1"/>
  <c r="C3045" i="1"/>
  <c r="C3036" i="1"/>
  <c r="C3028" i="1"/>
  <c r="C3020" i="1"/>
  <c r="C3012" i="1"/>
  <c r="C3004" i="1"/>
  <c r="C2996" i="1"/>
  <c r="C2988" i="1"/>
  <c r="C2980" i="1"/>
  <c r="C2972" i="1"/>
  <c r="C2964" i="1"/>
  <c r="C2956" i="1"/>
  <c r="C2948" i="1"/>
  <c r="C2940" i="1"/>
  <c r="C2932" i="1"/>
  <c r="C2924" i="1"/>
  <c r="C2916" i="1"/>
  <c r="C2908" i="1"/>
  <c r="C2900" i="1"/>
  <c r="C2892" i="1"/>
  <c r="C2884" i="1"/>
  <c r="C2876" i="1"/>
  <c r="C2868" i="1"/>
  <c r="C2860" i="1"/>
  <c r="C2852" i="1"/>
  <c r="C2844" i="1"/>
  <c r="C2836" i="1"/>
  <c r="C2828" i="1"/>
  <c r="C2820" i="1"/>
  <c r="C2812" i="1"/>
  <c r="C2804" i="1"/>
  <c r="C2796" i="1"/>
  <c r="C2788" i="1"/>
  <c r="C2780" i="1"/>
  <c r="C2772" i="1"/>
  <c r="C2764" i="1"/>
  <c r="C2756" i="1"/>
  <c r="C2748" i="1"/>
  <c r="C2740" i="1"/>
  <c r="C2732" i="1"/>
  <c r="C2724" i="1"/>
  <c r="C2716" i="1"/>
  <c r="C2708" i="1"/>
  <c r="C2700" i="1"/>
  <c r="C2694" i="1"/>
  <c r="C2691" i="1"/>
  <c r="C2688" i="1"/>
  <c r="D2685" i="1"/>
  <c r="C2683" i="1"/>
  <c r="C2680" i="1"/>
  <c r="D2677" i="1"/>
  <c r="C2675" i="1"/>
  <c r="C2672" i="1"/>
  <c r="D2669" i="1"/>
  <c r="C2667" i="1"/>
  <c r="C2664" i="1"/>
  <c r="D2661" i="1"/>
  <c r="C2659" i="1"/>
  <c r="C2656" i="1"/>
  <c r="D2653" i="1"/>
  <c r="C2651" i="1"/>
  <c r="C2648" i="1"/>
  <c r="D2645" i="1"/>
  <c r="C2643" i="1"/>
  <c r="C2640" i="1"/>
  <c r="D2637" i="1"/>
  <c r="C2635" i="1"/>
  <c r="C2632" i="1"/>
  <c r="D2629" i="1"/>
  <c r="C2627" i="1"/>
  <c r="C2624" i="1"/>
  <c r="C2622" i="1"/>
  <c r="C2620" i="1"/>
  <c r="C2618" i="1"/>
  <c r="C2616" i="1"/>
  <c r="C2614" i="1"/>
  <c r="C2612" i="1"/>
  <c r="C2610" i="1"/>
  <c r="C2608" i="1"/>
  <c r="C2606" i="1"/>
  <c r="C2604" i="1"/>
  <c r="C2602" i="1"/>
  <c r="C2600" i="1"/>
  <c r="C2598" i="1"/>
  <c r="C2596" i="1"/>
  <c r="C2594" i="1"/>
  <c r="C2592" i="1"/>
  <c r="C2590" i="1"/>
  <c r="C2588" i="1"/>
  <c r="C2586" i="1"/>
  <c r="C2584" i="1"/>
  <c r="C2582" i="1"/>
  <c r="C2580" i="1"/>
  <c r="C2578" i="1"/>
  <c r="C2576" i="1"/>
  <c r="C2574" i="1"/>
  <c r="C2572" i="1"/>
  <c r="C2570" i="1"/>
  <c r="C2568" i="1"/>
  <c r="C2566" i="1"/>
  <c r="C2564" i="1"/>
  <c r="C2562" i="1"/>
  <c r="C2560" i="1"/>
  <c r="C2558" i="1"/>
  <c r="C2556" i="1"/>
  <c r="C2554" i="1"/>
  <c r="C2552" i="1"/>
  <c r="C2550" i="1"/>
  <c r="C2548" i="1"/>
  <c r="C2546" i="1"/>
  <c r="C2544" i="1"/>
  <c r="C2542" i="1"/>
  <c r="C2540" i="1"/>
  <c r="C2538" i="1"/>
  <c r="C2536" i="1"/>
  <c r="C2534" i="1"/>
  <c r="D3432" i="1"/>
  <c r="D3272" i="1"/>
  <c r="C3216" i="1"/>
  <c r="D3182" i="1"/>
  <c r="D3150" i="1"/>
  <c r="D3118" i="1"/>
  <c r="C3096" i="1"/>
  <c r="C3085" i="1"/>
  <c r="D3074" i="1"/>
  <c r="C3064" i="1"/>
  <c r="C3053" i="1"/>
  <c r="D3042" i="1"/>
  <c r="C3034" i="1"/>
  <c r="C3026" i="1"/>
  <c r="C3018" i="1"/>
  <c r="C3010" i="1"/>
  <c r="C3002" i="1"/>
  <c r="C2994" i="1"/>
  <c r="C2986" i="1"/>
  <c r="C2978" i="1"/>
  <c r="C2970" i="1"/>
  <c r="C2962" i="1"/>
  <c r="C2954" i="1"/>
  <c r="C2946" i="1"/>
  <c r="C2938" i="1"/>
  <c r="C2930" i="1"/>
  <c r="C2922" i="1"/>
  <c r="C2914" i="1"/>
  <c r="C2906" i="1"/>
  <c r="C2898" i="1"/>
  <c r="C2890" i="1"/>
  <c r="C2882" i="1"/>
  <c r="C2874" i="1"/>
  <c r="C2866" i="1"/>
  <c r="C2858" i="1"/>
  <c r="C2850" i="1"/>
  <c r="C2842" i="1"/>
  <c r="C2834" i="1"/>
  <c r="C2826" i="1"/>
  <c r="C2818" i="1"/>
  <c r="C2810" i="1"/>
  <c r="C2802" i="1"/>
  <c r="C2794" i="1"/>
  <c r="C2786" i="1"/>
  <c r="C2778" i="1"/>
  <c r="C2770" i="1"/>
  <c r="C2762" i="1"/>
  <c r="C2754" i="1"/>
  <c r="C2746" i="1"/>
  <c r="C2738" i="1"/>
  <c r="C2730" i="1"/>
  <c r="C2722" i="1"/>
  <c r="C2714" i="1"/>
  <c r="C2706" i="1"/>
  <c r="C2698" i="1"/>
  <c r="D2693" i="1"/>
  <c r="C2690" i="1"/>
  <c r="D2687" i="1"/>
  <c r="C2685" i="1"/>
  <c r="C2682" i="1"/>
  <c r="D2679" i="1"/>
  <c r="C2677" i="1"/>
  <c r="C2674" i="1"/>
  <c r="D2671" i="1"/>
  <c r="C2669" i="1"/>
  <c r="C2666" i="1"/>
  <c r="D2663" i="1"/>
  <c r="C2661" i="1"/>
  <c r="C2658" i="1"/>
  <c r="D2655" i="1"/>
  <c r="C2653" i="1"/>
  <c r="C2650" i="1"/>
  <c r="D2647" i="1"/>
  <c r="C2645" i="1"/>
  <c r="C2642" i="1"/>
  <c r="D2639" i="1"/>
  <c r="C2637" i="1"/>
  <c r="C2634" i="1"/>
  <c r="D2631" i="1"/>
  <c r="C2629" i="1"/>
  <c r="C2626" i="1"/>
  <c r="D2623" i="1"/>
  <c r="D2621" i="1"/>
  <c r="D2619" i="1"/>
  <c r="D2617" i="1"/>
  <c r="D2615" i="1"/>
  <c r="D2613" i="1"/>
  <c r="D2611" i="1"/>
  <c r="D2609" i="1"/>
  <c r="D2607" i="1"/>
  <c r="D2605" i="1"/>
  <c r="D2603" i="1"/>
  <c r="D2601" i="1"/>
  <c r="D2599" i="1"/>
  <c r="D2597" i="1"/>
  <c r="D2595" i="1"/>
  <c r="D2593" i="1"/>
  <c r="D2591" i="1"/>
  <c r="D2589" i="1"/>
  <c r="D2587" i="1"/>
  <c r="D2585" i="1"/>
  <c r="D2583" i="1"/>
  <c r="D2581" i="1"/>
  <c r="D2579" i="1"/>
  <c r="D2577" i="1"/>
  <c r="D2575" i="1"/>
  <c r="D2573" i="1"/>
  <c r="D2571" i="1"/>
  <c r="D2569" i="1"/>
  <c r="D2567" i="1"/>
  <c r="D2565" i="1"/>
  <c r="D2563" i="1"/>
  <c r="D2561" i="1"/>
  <c r="D2559" i="1"/>
  <c r="D2557" i="1"/>
  <c r="D2555" i="1"/>
  <c r="D2553" i="1"/>
  <c r="D2551" i="1"/>
  <c r="D2549" i="1"/>
  <c r="D2547" i="1"/>
  <c r="D2545" i="1"/>
  <c r="D2543" i="1"/>
  <c r="D2541" i="1"/>
  <c r="D2539" i="1"/>
  <c r="D2537" i="1"/>
  <c r="D2535" i="1"/>
  <c r="D2533" i="1"/>
  <c r="D2531" i="1"/>
  <c r="D2529" i="1"/>
  <c r="D2527" i="1"/>
  <c r="C3390" i="1"/>
  <c r="C3248" i="1"/>
  <c r="D3206" i="1"/>
  <c r="D3174" i="1"/>
  <c r="D3142" i="1"/>
  <c r="D3110" i="1"/>
  <c r="C3093" i="1"/>
  <c r="D3082" i="1"/>
  <c r="C3072" i="1"/>
  <c r="C3061" i="1"/>
  <c r="D3050" i="1"/>
  <c r="C3040" i="1"/>
  <c r="C3032" i="1"/>
  <c r="C3024" i="1"/>
  <c r="C3016" i="1"/>
  <c r="C3008" i="1"/>
  <c r="C3000" i="1"/>
  <c r="C2992" i="1"/>
  <c r="C2984" i="1"/>
  <c r="C2976" i="1"/>
  <c r="C2968" i="1"/>
  <c r="C2960" i="1"/>
  <c r="C2952" i="1"/>
  <c r="C2944" i="1"/>
  <c r="C2936" i="1"/>
  <c r="C2928" i="1"/>
  <c r="C2920" i="1"/>
  <c r="C2912" i="1"/>
  <c r="C2904" i="1"/>
  <c r="C2896" i="1"/>
  <c r="C2888" i="1"/>
  <c r="C2880" i="1"/>
  <c r="C2872" i="1"/>
  <c r="C2864" i="1"/>
  <c r="C2856" i="1"/>
  <c r="C2848" i="1"/>
  <c r="C2840" i="1"/>
  <c r="C2832" i="1"/>
  <c r="C2824" i="1"/>
  <c r="C2816" i="1"/>
  <c r="C2808" i="1"/>
  <c r="C2800" i="1"/>
  <c r="C2792" i="1"/>
  <c r="C2784" i="1"/>
  <c r="C2776" i="1"/>
  <c r="C2768" i="1"/>
  <c r="C2760" i="1"/>
  <c r="C2752" i="1"/>
  <c r="C2744" i="1"/>
  <c r="C2736" i="1"/>
  <c r="C2728" i="1"/>
  <c r="C2720" i="1"/>
  <c r="C2712" i="1"/>
  <c r="C2704" i="1"/>
  <c r="C2696" i="1"/>
  <c r="C2692" i="1"/>
  <c r="D2689" i="1"/>
  <c r="C2687" i="1"/>
  <c r="C2684" i="1"/>
  <c r="D2681" i="1"/>
  <c r="C2679" i="1"/>
  <c r="C2676" i="1"/>
  <c r="D2673" i="1"/>
  <c r="C2671" i="1"/>
  <c r="C2668" i="1"/>
  <c r="D2665" i="1"/>
  <c r="C2663" i="1"/>
  <c r="C2660" i="1"/>
  <c r="D2657" i="1"/>
  <c r="C2655" i="1"/>
  <c r="C2652" i="1"/>
  <c r="D2649" i="1"/>
  <c r="C2647" i="1"/>
  <c r="C2644" i="1"/>
  <c r="D2641" i="1"/>
  <c r="C2639" i="1"/>
  <c r="C2636" i="1"/>
  <c r="D2633" i="1"/>
  <c r="C2631" i="1"/>
  <c r="C2628" i="1"/>
  <c r="D2625" i="1"/>
  <c r="C2623" i="1"/>
  <c r="C2621" i="1"/>
  <c r="C2619" i="1"/>
  <c r="C2617" i="1"/>
  <c r="C2615" i="1"/>
  <c r="C2613" i="1"/>
  <c r="C2611" i="1"/>
  <c r="C2609" i="1"/>
  <c r="C2607" i="1"/>
  <c r="C2605" i="1"/>
  <c r="C2603" i="1"/>
  <c r="C2601" i="1"/>
  <c r="C2599" i="1"/>
  <c r="C2597" i="1"/>
  <c r="C2595" i="1"/>
  <c r="C2593" i="1"/>
  <c r="C2591" i="1"/>
  <c r="C2589" i="1"/>
  <c r="C2587" i="1"/>
  <c r="C2585" i="1"/>
  <c r="C2583" i="1"/>
  <c r="C2581" i="1"/>
  <c r="C2579" i="1"/>
  <c r="C2577" i="1"/>
  <c r="C2575" i="1"/>
  <c r="C2573" i="1"/>
  <c r="C2571" i="1"/>
  <c r="C2569" i="1"/>
  <c r="C2567" i="1"/>
  <c r="C2565" i="1"/>
  <c r="C2563" i="1"/>
  <c r="C2561" i="1"/>
  <c r="C2559" i="1"/>
  <c r="C2557" i="1"/>
  <c r="C2555" i="1"/>
  <c r="C2553" i="1"/>
  <c r="C2551" i="1"/>
  <c r="C2549" i="1"/>
  <c r="C2547" i="1"/>
  <c r="C2545" i="1"/>
  <c r="C2543" i="1"/>
  <c r="C2541" i="1"/>
  <c r="C2539" i="1"/>
  <c r="C2537" i="1"/>
  <c r="C2535" i="1"/>
  <c r="C2533" i="1"/>
  <c r="C2531" i="1"/>
  <c r="C2529" i="1"/>
  <c r="C2527" i="1"/>
  <c r="C2525" i="1"/>
  <c r="C2523" i="1"/>
  <c r="C2521" i="1"/>
  <c r="C2519" i="1"/>
  <c r="C2517" i="1"/>
  <c r="C2515" i="1"/>
  <c r="C2513" i="1"/>
  <c r="C2511" i="1"/>
  <c r="C2509" i="1"/>
  <c r="C2507" i="1"/>
  <c r="C2505" i="1"/>
  <c r="C2503" i="1"/>
  <c r="C2501" i="1"/>
  <c r="C2499" i="1"/>
  <c r="C2497" i="1"/>
  <c r="C2495" i="1"/>
  <c r="C2493" i="1"/>
  <c r="C2491" i="1"/>
  <c r="C2489" i="1"/>
  <c r="C2487" i="1"/>
  <c r="C2485" i="1"/>
  <c r="C3347" i="1"/>
  <c r="D3237" i="1"/>
  <c r="D3198" i="1"/>
  <c r="D3166" i="1"/>
  <c r="D3134" i="1"/>
  <c r="D3102" i="1"/>
  <c r="D3090" i="1"/>
  <c r="C3080" i="1"/>
  <c r="C3069" i="1"/>
  <c r="D3058" i="1"/>
  <c r="C3048" i="1"/>
  <c r="C3038" i="1"/>
  <c r="C3030" i="1"/>
  <c r="C3022" i="1"/>
  <c r="C3014" i="1"/>
  <c r="C3006" i="1"/>
  <c r="C2998" i="1"/>
  <c r="C2990" i="1"/>
  <c r="C2982" i="1"/>
  <c r="C2974" i="1"/>
  <c r="C2966" i="1"/>
  <c r="C2958" i="1"/>
  <c r="C2950" i="1"/>
  <c r="C2942" i="1"/>
  <c r="C2934" i="1"/>
  <c r="C2926" i="1"/>
  <c r="C2918" i="1"/>
  <c r="C2910" i="1"/>
  <c r="C2902" i="1"/>
  <c r="C2894" i="1"/>
  <c r="C2886" i="1"/>
  <c r="C2878" i="1"/>
  <c r="C2870" i="1"/>
  <c r="C2862" i="1"/>
  <c r="C2854" i="1"/>
  <c r="C2846" i="1"/>
  <c r="C2838" i="1"/>
  <c r="C2830" i="1"/>
  <c r="C2822" i="1"/>
  <c r="C2814" i="1"/>
  <c r="C2806" i="1"/>
  <c r="C2798" i="1"/>
  <c r="C2790" i="1"/>
  <c r="C2782" i="1"/>
  <c r="C2774" i="1"/>
  <c r="C2766" i="1"/>
  <c r="C2758" i="1"/>
  <c r="C2750" i="1"/>
  <c r="C2742" i="1"/>
  <c r="C2734" i="1"/>
  <c r="C2726" i="1"/>
  <c r="C2718" i="1"/>
  <c r="C2710" i="1"/>
  <c r="C2702" i="1"/>
  <c r="D2695" i="1"/>
  <c r="D2691" i="1"/>
  <c r="C2689" i="1"/>
  <c r="C2686" i="1"/>
  <c r="D2683" i="1"/>
  <c r="C2681" i="1"/>
  <c r="C2678" i="1"/>
  <c r="D2675" i="1"/>
  <c r="C2673" i="1"/>
  <c r="C2670" i="1"/>
  <c r="D2667" i="1"/>
  <c r="C2665" i="1"/>
  <c r="C2662" i="1"/>
  <c r="D2659" i="1"/>
  <c r="C2657" i="1"/>
  <c r="C2654" i="1"/>
  <c r="D2651" i="1"/>
  <c r="C2649" i="1"/>
  <c r="C2646" i="1"/>
  <c r="D2643" i="1"/>
  <c r="C2641" i="1"/>
  <c r="C2638" i="1"/>
  <c r="D2635" i="1"/>
  <c r="C2633" i="1"/>
  <c r="C2630" i="1"/>
  <c r="D2627" i="1"/>
  <c r="C2625" i="1"/>
  <c r="D2622" i="1"/>
  <c r="D2620" i="1"/>
  <c r="D2618" i="1"/>
  <c r="D2616" i="1"/>
  <c r="D2614" i="1"/>
  <c r="D2612" i="1"/>
  <c r="D2610" i="1"/>
  <c r="D2608" i="1"/>
  <c r="D2606" i="1"/>
  <c r="D2604" i="1"/>
  <c r="D2602" i="1"/>
  <c r="D2600" i="1"/>
  <c r="D2598" i="1"/>
  <c r="D2596" i="1"/>
  <c r="D2594" i="1"/>
  <c r="D2592" i="1"/>
  <c r="D2590" i="1"/>
  <c r="D2588" i="1"/>
  <c r="D2586" i="1"/>
  <c r="D2584" i="1"/>
  <c r="D2582" i="1"/>
  <c r="D2580" i="1"/>
  <c r="D2578" i="1"/>
  <c r="D2576" i="1"/>
  <c r="D2574" i="1"/>
  <c r="D2572" i="1"/>
  <c r="D2570" i="1"/>
  <c r="D2568" i="1"/>
  <c r="D2566" i="1"/>
  <c r="D2564" i="1"/>
  <c r="D2562" i="1"/>
  <c r="D2560" i="1"/>
  <c r="D2558" i="1"/>
  <c r="D2556" i="1"/>
  <c r="D2554" i="1"/>
  <c r="D2552" i="1"/>
  <c r="D2550" i="1"/>
  <c r="D2548" i="1"/>
  <c r="D2546" i="1"/>
  <c r="D2544" i="1"/>
  <c r="D2542" i="1"/>
  <c r="D2540" i="1"/>
  <c r="D2538" i="1"/>
  <c r="D2536" i="1"/>
  <c r="D2534" i="1"/>
  <c r="D2532" i="1"/>
  <c r="C2532" i="1"/>
  <c r="C2528" i="1"/>
  <c r="D2524" i="1"/>
  <c r="C2522" i="1"/>
  <c r="D2519" i="1"/>
  <c r="D2516" i="1"/>
  <c r="C2514" i="1"/>
  <c r="D2511" i="1"/>
  <c r="D2508" i="1"/>
  <c r="C2506" i="1"/>
  <c r="D2503" i="1"/>
  <c r="D2500" i="1"/>
  <c r="C2498" i="1"/>
  <c r="D2495" i="1"/>
  <c r="D2492" i="1"/>
  <c r="C2490" i="1"/>
  <c r="D2487" i="1"/>
  <c r="D2484" i="1"/>
  <c r="D2482" i="1"/>
  <c r="D2480" i="1"/>
  <c r="D2478" i="1"/>
  <c r="D2476" i="1"/>
  <c r="D2474" i="1"/>
  <c r="D2472" i="1"/>
  <c r="D2470" i="1"/>
  <c r="D2468" i="1"/>
  <c r="D2466" i="1"/>
  <c r="D2464" i="1"/>
  <c r="D2462" i="1"/>
  <c r="D2460" i="1"/>
  <c r="D2458" i="1"/>
  <c r="D2456" i="1"/>
  <c r="D2454" i="1"/>
  <c r="D2452" i="1"/>
  <c r="D2450" i="1"/>
  <c r="D2448" i="1"/>
  <c r="D2446" i="1"/>
  <c r="D2444" i="1"/>
  <c r="D2442" i="1"/>
  <c r="D2440" i="1"/>
  <c r="D2438" i="1"/>
  <c r="D2436" i="1"/>
  <c r="D2434" i="1"/>
  <c r="D2432" i="1"/>
  <c r="D2430" i="1"/>
  <c r="D2428" i="1"/>
  <c r="D2426" i="1"/>
  <c r="D2424" i="1"/>
  <c r="D2422" i="1"/>
  <c r="D2420" i="1"/>
  <c r="D2418" i="1"/>
  <c r="D2416" i="1"/>
  <c r="D2414" i="1"/>
  <c r="D2412" i="1"/>
  <c r="D2410" i="1"/>
  <c r="D2408" i="1"/>
  <c r="D2406" i="1"/>
  <c r="D2404" i="1"/>
  <c r="D2402" i="1"/>
  <c r="D2400" i="1"/>
  <c r="D2398" i="1"/>
  <c r="D2396" i="1"/>
  <c r="D2394" i="1"/>
  <c r="D2392" i="1"/>
  <c r="D2390" i="1"/>
  <c r="D2388" i="1"/>
  <c r="D2386" i="1"/>
  <c r="D2384" i="1"/>
  <c r="D2382" i="1"/>
  <c r="D2380" i="1"/>
  <c r="D2378" i="1"/>
  <c r="D2376" i="1"/>
  <c r="D2374" i="1"/>
  <c r="D2372" i="1"/>
  <c r="D2370" i="1"/>
  <c r="D2368" i="1"/>
  <c r="D2366" i="1"/>
  <c r="D2364" i="1"/>
  <c r="D2362" i="1"/>
  <c r="D2360" i="1"/>
  <c r="D2358" i="1"/>
  <c r="D2356" i="1"/>
  <c r="D2354" i="1"/>
  <c r="D2352" i="1"/>
  <c r="D2350" i="1"/>
  <c r="D2348" i="1"/>
  <c r="D2346" i="1"/>
  <c r="D2344" i="1"/>
  <c r="D2342" i="1"/>
  <c r="D2340" i="1"/>
  <c r="D2338" i="1"/>
  <c r="D2336" i="1"/>
  <c r="D2334" i="1"/>
  <c r="D2332" i="1"/>
  <c r="D2330" i="1"/>
  <c r="D2328" i="1"/>
  <c r="D2326" i="1"/>
  <c r="D2324" i="1"/>
  <c r="D2322" i="1"/>
  <c r="D2320" i="1"/>
  <c r="D2318" i="1"/>
  <c r="D2316" i="1"/>
  <c r="D2314" i="1"/>
  <c r="D2312" i="1"/>
  <c r="D2310" i="1"/>
  <c r="D2308" i="1"/>
  <c r="D2306" i="1"/>
  <c r="D2304" i="1"/>
  <c r="D2302" i="1"/>
  <c r="D2300" i="1"/>
  <c r="D2298" i="1"/>
  <c r="D2296" i="1"/>
  <c r="D2294" i="1"/>
  <c r="D2292" i="1"/>
  <c r="D2290" i="1"/>
  <c r="D2288" i="1"/>
  <c r="D2286" i="1"/>
  <c r="D2284" i="1"/>
  <c r="D2282" i="1"/>
  <c r="D2280" i="1"/>
  <c r="D2278" i="1"/>
  <c r="D2276" i="1"/>
  <c r="D2274" i="1"/>
  <c r="D2272" i="1"/>
  <c r="D2270" i="1"/>
  <c r="D2268" i="1"/>
  <c r="D2266" i="1"/>
  <c r="D2264" i="1"/>
  <c r="D2262" i="1"/>
  <c r="D2260" i="1"/>
  <c r="D2258" i="1"/>
  <c r="D2256" i="1"/>
  <c r="D2254" i="1"/>
  <c r="D2252" i="1"/>
  <c r="D2250" i="1"/>
  <c r="D2248" i="1"/>
  <c r="D2246" i="1"/>
  <c r="D2244" i="1"/>
  <c r="D2242" i="1"/>
  <c r="D2240" i="1"/>
  <c r="D2238" i="1"/>
  <c r="D2236" i="1"/>
  <c r="D2234" i="1"/>
  <c r="D2232" i="1"/>
  <c r="D2230" i="1"/>
  <c r="D2228" i="1"/>
  <c r="D2226" i="1"/>
  <c r="D2224" i="1"/>
  <c r="D2222" i="1"/>
  <c r="D2220" i="1"/>
  <c r="D2218" i="1"/>
  <c r="D2216" i="1"/>
  <c r="D2214" i="1"/>
  <c r="D2212" i="1"/>
  <c r="D2210" i="1"/>
  <c r="D2208" i="1"/>
  <c r="D2206" i="1"/>
  <c r="D2204" i="1"/>
  <c r="D2202" i="1"/>
  <c r="D2200" i="1"/>
  <c r="D2198" i="1"/>
  <c r="D2196" i="1"/>
  <c r="D2194" i="1"/>
  <c r="D2192" i="1"/>
  <c r="D2190" i="1"/>
  <c r="D2188" i="1"/>
  <c r="D2186" i="1"/>
  <c r="D2184" i="1"/>
  <c r="D2182" i="1"/>
  <c r="D2180" i="1"/>
  <c r="D2178" i="1"/>
  <c r="D2176" i="1"/>
  <c r="D2174" i="1"/>
  <c r="D2172" i="1"/>
  <c r="D2170" i="1"/>
  <c r="D2168" i="1"/>
  <c r="D2166" i="1"/>
  <c r="D2164" i="1"/>
  <c r="D2162" i="1"/>
  <c r="D2160" i="1"/>
  <c r="D2158" i="1"/>
  <c r="D2156" i="1"/>
  <c r="D2154" i="1"/>
  <c r="D2152" i="1"/>
  <c r="D2150" i="1"/>
  <c r="D2148" i="1"/>
  <c r="D2146" i="1"/>
  <c r="D2144" i="1"/>
  <c r="D2142" i="1"/>
  <c r="D2140" i="1"/>
  <c r="D2138" i="1"/>
  <c r="D2136" i="1"/>
  <c r="D2134" i="1"/>
  <c r="D2132" i="1"/>
  <c r="D2130" i="1"/>
  <c r="D2128" i="1"/>
  <c r="D2126" i="1"/>
  <c r="D2124" i="1"/>
  <c r="D2122" i="1"/>
  <c r="D2120" i="1"/>
  <c r="D2118" i="1"/>
  <c r="D2116" i="1"/>
  <c r="D2114" i="1"/>
  <c r="D2112" i="1"/>
  <c r="D2110" i="1"/>
  <c r="D2108" i="1"/>
  <c r="D2106" i="1"/>
  <c r="D2104" i="1"/>
  <c r="D2102" i="1"/>
  <c r="D2100" i="1"/>
  <c r="D2098" i="1"/>
  <c r="D2096" i="1"/>
  <c r="D2094" i="1"/>
  <c r="D2092" i="1"/>
  <c r="D2090" i="1"/>
  <c r="D2088" i="1"/>
  <c r="D2086" i="1"/>
  <c r="D2084" i="1"/>
  <c r="D2082" i="1"/>
  <c r="D2080" i="1"/>
  <c r="D2078" i="1"/>
  <c r="D2076" i="1"/>
  <c r="D2074" i="1"/>
  <c r="D2072" i="1"/>
  <c r="D2070" i="1"/>
  <c r="D2068" i="1"/>
  <c r="D2066" i="1"/>
  <c r="D2064" i="1"/>
  <c r="D2062" i="1"/>
  <c r="D2060" i="1"/>
  <c r="D2058" i="1"/>
  <c r="D2056" i="1"/>
  <c r="D2054" i="1"/>
  <c r="D2052" i="1"/>
  <c r="D2050" i="1"/>
  <c r="D2048" i="1"/>
  <c r="D2046" i="1"/>
  <c r="D2044" i="1"/>
  <c r="D2042" i="1"/>
  <c r="D2040" i="1"/>
  <c r="D2038" i="1"/>
  <c r="D2036" i="1"/>
  <c r="D2034" i="1"/>
  <c r="D2032" i="1"/>
  <c r="D2030" i="1"/>
  <c r="D2028" i="1"/>
  <c r="D2026" i="1"/>
  <c r="D2530" i="1"/>
  <c r="D2526" i="1"/>
  <c r="C2524" i="1"/>
  <c r="D2521" i="1"/>
  <c r="D2518" i="1"/>
  <c r="C2516" i="1"/>
  <c r="D2513" i="1"/>
  <c r="D2510" i="1"/>
  <c r="C2508" i="1"/>
  <c r="D2505" i="1"/>
  <c r="D2502" i="1"/>
  <c r="C2500" i="1"/>
  <c r="D2497" i="1"/>
  <c r="D2494" i="1"/>
  <c r="C2492" i="1"/>
  <c r="D2489" i="1"/>
  <c r="D2486" i="1"/>
  <c r="C2484" i="1"/>
  <c r="C2482" i="1"/>
  <c r="C2480" i="1"/>
  <c r="C2478" i="1"/>
  <c r="C2476" i="1"/>
  <c r="C2474" i="1"/>
  <c r="C2472" i="1"/>
  <c r="C2470" i="1"/>
  <c r="C2468" i="1"/>
  <c r="C2466" i="1"/>
  <c r="C2464" i="1"/>
  <c r="C2462" i="1"/>
  <c r="C2460" i="1"/>
  <c r="C2458" i="1"/>
  <c r="C2456" i="1"/>
  <c r="C2454" i="1"/>
  <c r="C2452" i="1"/>
  <c r="C2450" i="1"/>
  <c r="C2448" i="1"/>
  <c r="C2446" i="1"/>
  <c r="C2444" i="1"/>
  <c r="C2442" i="1"/>
  <c r="C2440" i="1"/>
  <c r="C2438" i="1"/>
  <c r="C2436" i="1"/>
  <c r="C2434" i="1"/>
  <c r="C2432" i="1"/>
  <c r="C2430" i="1"/>
  <c r="C2428" i="1"/>
  <c r="C2426" i="1"/>
  <c r="C2424" i="1"/>
  <c r="C2422" i="1"/>
  <c r="C2420" i="1"/>
  <c r="C2418" i="1"/>
  <c r="C2416" i="1"/>
  <c r="C2414" i="1"/>
  <c r="C2412" i="1"/>
  <c r="C2410" i="1"/>
  <c r="C2408" i="1"/>
  <c r="C2406" i="1"/>
  <c r="C2404" i="1"/>
  <c r="C2402" i="1"/>
  <c r="C2400" i="1"/>
  <c r="C2398" i="1"/>
  <c r="C2396" i="1"/>
  <c r="C2394" i="1"/>
  <c r="C2392" i="1"/>
  <c r="C2390" i="1"/>
  <c r="C2388" i="1"/>
  <c r="C2386" i="1"/>
  <c r="C2384" i="1"/>
  <c r="C2382" i="1"/>
  <c r="C2380" i="1"/>
  <c r="C2378" i="1"/>
  <c r="C2376" i="1"/>
  <c r="C2374" i="1"/>
  <c r="C2372" i="1"/>
  <c r="C2370" i="1"/>
  <c r="C2368" i="1"/>
  <c r="C2366" i="1"/>
  <c r="C2364" i="1"/>
  <c r="C2362" i="1"/>
  <c r="C2360" i="1"/>
  <c r="C2358" i="1"/>
  <c r="C2356" i="1"/>
  <c r="C2354" i="1"/>
  <c r="C2352" i="1"/>
  <c r="C2350" i="1"/>
  <c r="C2348" i="1"/>
  <c r="C2346" i="1"/>
  <c r="C2344" i="1"/>
  <c r="C2342" i="1"/>
  <c r="C2340" i="1"/>
  <c r="C2338" i="1"/>
  <c r="C2336" i="1"/>
  <c r="C2334" i="1"/>
  <c r="C2332" i="1"/>
  <c r="C2330" i="1"/>
  <c r="C2328" i="1"/>
  <c r="C2326" i="1"/>
  <c r="C2324" i="1"/>
  <c r="C2322" i="1"/>
  <c r="C2320" i="1"/>
  <c r="C2318" i="1"/>
  <c r="C2316" i="1"/>
  <c r="C2314" i="1"/>
  <c r="C2312" i="1"/>
  <c r="C2310" i="1"/>
  <c r="C2308" i="1"/>
  <c r="C2306" i="1"/>
  <c r="C2304" i="1"/>
  <c r="C2302" i="1"/>
  <c r="C2300" i="1"/>
  <c r="C2298" i="1"/>
  <c r="C2296" i="1"/>
  <c r="C2294" i="1"/>
  <c r="C2292" i="1"/>
  <c r="C2290" i="1"/>
  <c r="C2288" i="1"/>
  <c r="C2286" i="1"/>
  <c r="C2284" i="1"/>
  <c r="C2282" i="1"/>
  <c r="C2280" i="1"/>
  <c r="C2278" i="1"/>
  <c r="C2276" i="1"/>
  <c r="C2274" i="1"/>
  <c r="C2272" i="1"/>
  <c r="C2270" i="1"/>
  <c r="C2268" i="1"/>
  <c r="C2266" i="1"/>
  <c r="C2264" i="1"/>
  <c r="C2262" i="1"/>
  <c r="C2260" i="1"/>
  <c r="C2258" i="1"/>
  <c r="C2256" i="1"/>
  <c r="C2254" i="1"/>
  <c r="C2252" i="1"/>
  <c r="C2250" i="1"/>
  <c r="C2248" i="1"/>
  <c r="C2246" i="1"/>
  <c r="C2244" i="1"/>
  <c r="C2242" i="1"/>
  <c r="C2240" i="1"/>
  <c r="C2238" i="1"/>
  <c r="C2236" i="1"/>
  <c r="C2234" i="1"/>
  <c r="C2232" i="1"/>
  <c r="C2230" i="1"/>
  <c r="C2228" i="1"/>
  <c r="C2226" i="1"/>
  <c r="C2224" i="1"/>
  <c r="C2222" i="1"/>
  <c r="C2220" i="1"/>
  <c r="C2218" i="1"/>
  <c r="C2216" i="1"/>
  <c r="C2214" i="1"/>
  <c r="C2212" i="1"/>
  <c r="C2210" i="1"/>
  <c r="C2208" i="1"/>
  <c r="C2206" i="1"/>
  <c r="C2204" i="1"/>
  <c r="C2202" i="1"/>
  <c r="C2200" i="1"/>
  <c r="C2198" i="1"/>
  <c r="C2196" i="1"/>
  <c r="C2194" i="1"/>
  <c r="C2192" i="1"/>
  <c r="C2190" i="1"/>
  <c r="C2188" i="1"/>
  <c r="C2186" i="1"/>
  <c r="C2184" i="1"/>
  <c r="C2182" i="1"/>
  <c r="C2180" i="1"/>
  <c r="C2178" i="1"/>
  <c r="C2176" i="1"/>
  <c r="C2174" i="1"/>
  <c r="C2172" i="1"/>
  <c r="C2170" i="1"/>
  <c r="C2168" i="1"/>
  <c r="C2166" i="1"/>
  <c r="C2164" i="1"/>
  <c r="C2162" i="1"/>
  <c r="C2160" i="1"/>
  <c r="C2158" i="1"/>
  <c r="C2156" i="1"/>
  <c r="C2154" i="1"/>
  <c r="C2152" i="1"/>
  <c r="C2150" i="1"/>
  <c r="C2148" i="1"/>
  <c r="C2146" i="1"/>
  <c r="C2144" i="1"/>
  <c r="C2142" i="1"/>
  <c r="C2140" i="1"/>
  <c r="C2138" i="1"/>
  <c r="C2136" i="1"/>
  <c r="C2134" i="1"/>
  <c r="C2132" i="1"/>
  <c r="C2130" i="1"/>
  <c r="C2128" i="1"/>
  <c r="C2126" i="1"/>
  <c r="C2124" i="1"/>
  <c r="C2122" i="1"/>
  <c r="C2120" i="1"/>
  <c r="C2118" i="1"/>
  <c r="C2116" i="1"/>
  <c r="C2114" i="1"/>
  <c r="C2112" i="1"/>
  <c r="C2110" i="1"/>
  <c r="C2108" i="1"/>
  <c r="C2106" i="1"/>
  <c r="C2104" i="1"/>
  <c r="C2102" i="1"/>
  <c r="C2100" i="1"/>
  <c r="C2098" i="1"/>
  <c r="C2096" i="1"/>
  <c r="C2094" i="1"/>
  <c r="C2092" i="1"/>
  <c r="C2090" i="1"/>
  <c r="C2088" i="1"/>
  <c r="C2086" i="1"/>
  <c r="C2084" i="1"/>
  <c r="C2082" i="1"/>
  <c r="C2080" i="1"/>
  <c r="C2078" i="1"/>
  <c r="C2076" i="1"/>
  <c r="C2074" i="1"/>
  <c r="C2072" i="1"/>
  <c r="C2070" i="1"/>
  <c r="C2068" i="1"/>
  <c r="C2066" i="1"/>
  <c r="C2064" i="1"/>
  <c r="C2062" i="1"/>
  <c r="C2060" i="1"/>
  <c r="C2058" i="1"/>
  <c r="C2056" i="1"/>
  <c r="C2054" i="1"/>
  <c r="C2052" i="1"/>
  <c r="C2050" i="1"/>
  <c r="C2048" i="1"/>
  <c r="C2046" i="1"/>
  <c r="C2044" i="1"/>
  <c r="C2042" i="1"/>
  <c r="C2040" i="1"/>
  <c r="C2038" i="1"/>
  <c r="C2036" i="1"/>
  <c r="C2034" i="1"/>
  <c r="C2032" i="1"/>
  <c r="C2030" i="1"/>
  <c r="C2028" i="1"/>
  <c r="C2026" i="1"/>
  <c r="C2024" i="1"/>
  <c r="C2530" i="1"/>
  <c r="C2526" i="1"/>
  <c r="D2523" i="1"/>
  <c r="D2520" i="1"/>
  <c r="C2518" i="1"/>
  <c r="D2515" i="1"/>
  <c r="D2512" i="1"/>
  <c r="C2510" i="1"/>
  <c r="D2507" i="1"/>
  <c r="D2504" i="1"/>
  <c r="C2502" i="1"/>
  <c r="D2499" i="1"/>
  <c r="D2496" i="1"/>
  <c r="C2494" i="1"/>
  <c r="D2491" i="1"/>
  <c r="D2488" i="1"/>
  <c r="C2486" i="1"/>
  <c r="D2483" i="1"/>
  <c r="D2481" i="1"/>
  <c r="D2479" i="1"/>
  <c r="D2477" i="1"/>
  <c r="D2475" i="1"/>
  <c r="D2473" i="1"/>
  <c r="D2471" i="1"/>
  <c r="D2469" i="1"/>
  <c r="D2467" i="1"/>
  <c r="D2465" i="1"/>
  <c r="D2463" i="1"/>
  <c r="D2461" i="1"/>
  <c r="D2459" i="1"/>
  <c r="D2457" i="1"/>
  <c r="D2455" i="1"/>
  <c r="D2453" i="1"/>
  <c r="D2451" i="1"/>
  <c r="D2449" i="1"/>
  <c r="D2447" i="1"/>
  <c r="D2445" i="1"/>
  <c r="D2443" i="1"/>
  <c r="D2441" i="1"/>
  <c r="D2439" i="1"/>
  <c r="D2437" i="1"/>
  <c r="D2435" i="1"/>
  <c r="D2433" i="1"/>
  <c r="D2431" i="1"/>
  <c r="D2429" i="1"/>
  <c r="D2427" i="1"/>
  <c r="D2425" i="1"/>
  <c r="D2423" i="1"/>
  <c r="D2421" i="1"/>
  <c r="D2419" i="1"/>
  <c r="D2417" i="1"/>
  <c r="D2415" i="1"/>
  <c r="D2413" i="1"/>
  <c r="D2411" i="1"/>
  <c r="D2409" i="1"/>
  <c r="D2407" i="1"/>
  <c r="D2405" i="1"/>
  <c r="D2403" i="1"/>
  <c r="D2401" i="1"/>
  <c r="D2399" i="1"/>
  <c r="D2397" i="1"/>
  <c r="D2395" i="1"/>
  <c r="D2393" i="1"/>
  <c r="D2391" i="1"/>
  <c r="D2389" i="1"/>
  <c r="D2387" i="1"/>
  <c r="D2385" i="1"/>
  <c r="D2383" i="1"/>
  <c r="D2381" i="1"/>
  <c r="D2379" i="1"/>
  <c r="D2377" i="1"/>
  <c r="D2375" i="1"/>
  <c r="D2373" i="1"/>
  <c r="D2371" i="1"/>
  <c r="D2369" i="1"/>
  <c r="D2367" i="1"/>
  <c r="D2365" i="1"/>
  <c r="D2363" i="1"/>
  <c r="D2361" i="1"/>
  <c r="D2359" i="1"/>
  <c r="D2357" i="1"/>
  <c r="D2355" i="1"/>
  <c r="D2353" i="1"/>
  <c r="D2351" i="1"/>
  <c r="D2349" i="1"/>
  <c r="D2347" i="1"/>
  <c r="D2345" i="1"/>
  <c r="D2343" i="1"/>
  <c r="D2341" i="1"/>
  <c r="D2339" i="1"/>
  <c r="D2337" i="1"/>
  <c r="D2335" i="1"/>
  <c r="D2333" i="1"/>
  <c r="D2331" i="1"/>
  <c r="D2329" i="1"/>
  <c r="D2327" i="1"/>
  <c r="D2325" i="1"/>
  <c r="D2323" i="1"/>
  <c r="D2321" i="1"/>
  <c r="D2319" i="1"/>
  <c r="D2317" i="1"/>
  <c r="D2315" i="1"/>
  <c r="D2313" i="1"/>
  <c r="D2311" i="1"/>
  <c r="D2309" i="1"/>
  <c r="D2307" i="1"/>
  <c r="D2305" i="1"/>
  <c r="D2303" i="1"/>
  <c r="D2301" i="1"/>
  <c r="D2299" i="1"/>
  <c r="D2297" i="1"/>
  <c r="D2295" i="1"/>
  <c r="D2293" i="1"/>
  <c r="D2291" i="1"/>
  <c r="D2289" i="1"/>
  <c r="D2287" i="1"/>
  <c r="D2285" i="1"/>
  <c r="D2283" i="1"/>
  <c r="D2281" i="1"/>
  <c r="D2279" i="1"/>
  <c r="D2277" i="1"/>
  <c r="D2275" i="1"/>
  <c r="D2273" i="1"/>
  <c r="D2271" i="1"/>
  <c r="D2269" i="1"/>
  <c r="D2267" i="1"/>
  <c r="D2265" i="1"/>
  <c r="D2263" i="1"/>
  <c r="D2261" i="1"/>
  <c r="D2259" i="1"/>
  <c r="D2257" i="1"/>
  <c r="D2255" i="1"/>
  <c r="D2253" i="1"/>
  <c r="D2251" i="1"/>
  <c r="D2249" i="1"/>
  <c r="D2247" i="1"/>
  <c r="D2245" i="1"/>
  <c r="D2243" i="1"/>
  <c r="D2241" i="1"/>
  <c r="D2239" i="1"/>
  <c r="D2237" i="1"/>
  <c r="D2235" i="1"/>
  <c r="D2233" i="1"/>
  <c r="D2231" i="1"/>
  <c r="D2229" i="1"/>
  <c r="D2227" i="1"/>
  <c r="D2225" i="1"/>
  <c r="D2223" i="1"/>
  <c r="D2221" i="1"/>
  <c r="D2219" i="1"/>
  <c r="D2217" i="1"/>
  <c r="D2215" i="1"/>
  <c r="D2213" i="1"/>
  <c r="D2211" i="1"/>
  <c r="D2209" i="1"/>
  <c r="D2207" i="1"/>
  <c r="D2205" i="1"/>
  <c r="D2203" i="1"/>
  <c r="D2201" i="1"/>
  <c r="D2199" i="1"/>
  <c r="D2197" i="1"/>
  <c r="D2195" i="1"/>
  <c r="D2193" i="1"/>
  <c r="D2191" i="1"/>
  <c r="D2189" i="1"/>
  <c r="D2187" i="1"/>
  <c r="D2185" i="1"/>
  <c r="D2183" i="1"/>
  <c r="D2181" i="1"/>
  <c r="D2179" i="1"/>
  <c r="D2177" i="1"/>
  <c r="D2175" i="1"/>
  <c r="D2173" i="1"/>
  <c r="D2171" i="1"/>
  <c r="D2169" i="1"/>
  <c r="D2167" i="1"/>
  <c r="D2165" i="1"/>
  <c r="D2163" i="1"/>
  <c r="D2161" i="1"/>
  <c r="D2159" i="1"/>
  <c r="D2157" i="1"/>
  <c r="D2155" i="1"/>
  <c r="D2153" i="1"/>
  <c r="D2151" i="1"/>
  <c r="D2149" i="1"/>
  <c r="D2147" i="1"/>
  <c r="D2145" i="1"/>
  <c r="D2143" i="1"/>
  <c r="D2141" i="1"/>
  <c r="D2139" i="1"/>
  <c r="D2137" i="1"/>
  <c r="D2135" i="1"/>
  <c r="D2133" i="1"/>
  <c r="D2131" i="1"/>
  <c r="D2129" i="1"/>
  <c r="D2127" i="1"/>
  <c r="D2125" i="1"/>
  <c r="D2123" i="1"/>
  <c r="D2121" i="1"/>
  <c r="D2119" i="1"/>
  <c r="D2117" i="1"/>
  <c r="D2115" i="1"/>
  <c r="D2113" i="1"/>
  <c r="D2111" i="1"/>
  <c r="D2109" i="1"/>
  <c r="D2107" i="1"/>
  <c r="D2105" i="1"/>
  <c r="D2103" i="1"/>
  <c r="D2101" i="1"/>
  <c r="D2099" i="1"/>
  <c r="D2097" i="1"/>
  <c r="D2095" i="1"/>
  <c r="D2093" i="1"/>
  <c r="D2091" i="1"/>
  <c r="D2089" i="1"/>
  <c r="D2087" i="1"/>
  <c r="D2085" i="1"/>
  <c r="D2083" i="1"/>
  <c r="D2081" i="1"/>
  <c r="D2079" i="1"/>
  <c r="D2077" i="1"/>
  <c r="D2075" i="1"/>
  <c r="D2073" i="1"/>
  <c r="D2071" i="1"/>
  <c r="D2069" i="1"/>
  <c r="D2067" i="1"/>
  <c r="D2065" i="1"/>
  <c r="D2063" i="1"/>
  <c r="D2061" i="1"/>
  <c r="D2059" i="1"/>
  <c r="D2057" i="1"/>
  <c r="D2055" i="1"/>
  <c r="D2053" i="1"/>
  <c r="D2051" i="1"/>
  <c r="D2049" i="1"/>
  <c r="D2047" i="1"/>
  <c r="D2045" i="1"/>
  <c r="D2043" i="1"/>
  <c r="D2041" i="1"/>
  <c r="D2039" i="1"/>
  <c r="D2037" i="1"/>
  <c r="D2035" i="1"/>
  <c r="D2033" i="1"/>
  <c r="D2031" i="1"/>
  <c r="D2029" i="1"/>
  <c r="D2027" i="1"/>
  <c r="D2025" i="1"/>
  <c r="D2023" i="1"/>
  <c r="D2021" i="1"/>
  <c r="D2019" i="1"/>
  <c r="D2017" i="1"/>
  <c r="D2015" i="1"/>
  <c r="D2013" i="1"/>
  <c r="D2011" i="1"/>
  <c r="D2009" i="1"/>
  <c r="D2007" i="1"/>
  <c r="D2005" i="1"/>
  <c r="D2003" i="1"/>
  <c r="D2001" i="1"/>
  <c r="D1999" i="1"/>
  <c r="D1997" i="1"/>
  <c r="D1995" i="1"/>
  <c r="D1993" i="1"/>
  <c r="D1991" i="1"/>
  <c r="D1989" i="1"/>
  <c r="D1987" i="1"/>
  <c r="D1985" i="1"/>
  <c r="D1983" i="1"/>
  <c r="D1981" i="1"/>
  <c r="D1979" i="1"/>
  <c r="D1977" i="1"/>
  <c r="D1975" i="1"/>
  <c r="D1973" i="1"/>
  <c r="D1971" i="1"/>
  <c r="D1969" i="1"/>
  <c r="D1967" i="1"/>
  <c r="D1965" i="1"/>
  <c r="D1963" i="1"/>
  <c r="D1961" i="1"/>
  <c r="D1959" i="1"/>
  <c r="D1957" i="1"/>
  <c r="D1955" i="1"/>
  <c r="D1953" i="1"/>
  <c r="D1951" i="1"/>
  <c r="D1949" i="1"/>
  <c r="D1947" i="1"/>
  <c r="D1945" i="1"/>
  <c r="D1943" i="1"/>
  <c r="D2528" i="1"/>
  <c r="D2525" i="1"/>
  <c r="D2522" i="1"/>
  <c r="C2520" i="1"/>
  <c r="D2517" i="1"/>
  <c r="D2514" i="1"/>
  <c r="C2512" i="1"/>
  <c r="D2509" i="1"/>
  <c r="D2506" i="1"/>
  <c r="C2504" i="1"/>
  <c r="D2501" i="1"/>
  <c r="D2498" i="1"/>
  <c r="C2496" i="1"/>
  <c r="D2493" i="1"/>
  <c r="D2490" i="1"/>
  <c r="C2488" i="1"/>
  <c r="D2485" i="1"/>
  <c r="C2483" i="1"/>
  <c r="C2481" i="1"/>
  <c r="C2479" i="1"/>
  <c r="C2477" i="1"/>
  <c r="C2475" i="1"/>
  <c r="C2473" i="1"/>
  <c r="C2471" i="1"/>
  <c r="C2469" i="1"/>
  <c r="C2467" i="1"/>
  <c r="C2465" i="1"/>
  <c r="C2463" i="1"/>
  <c r="C2461" i="1"/>
  <c r="C2459" i="1"/>
  <c r="C2457" i="1"/>
  <c r="C2455" i="1"/>
  <c r="C2453" i="1"/>
  <c r="C2451" i="1"/>
  <c r="C2449" i="1"/>
  <c r="C2447" i="1"/>
  <c r="C2445" i="1"/>
  <c r="C2443" i="1"/>
  <c r="C2441" i="1"/>
  <c r="C2439" i="1"/>
  <c r="C2437" i="1"/>
  <c r="C2435" i="1"/>
  <c r="C2433" i="1"/>
  <c r="C2431" i="1"/>
  <c r="C2429" i="1"/>
  <c r="C2427" i="1"/>
  <c r="C2425" i="1"/>
  <c r="C2423" i="1"/>
  <c r="C2421" i="1"/>
  <c r="C2419" i="1"/>
  <c r="C2417" i="1"/>
  <c r="C2415" i="1"/>
  <c r="C2413" i="1"/>
  <c r="C2411" i="1"/>
  <c r="C2409" i="1"/>
  <c r="C2407" i="1"/>
  <c r="C2405" i="1"/>
  <c r="C2403" i="1"/>
  <c r="C2401" i="1"/>
  <c r="C2399" i="1"/>
  <c r="C2397" i="1"/>
  <c r="C2395" i="1"/>
  <c r="C2393" i="1"/>
  <c r="C2391" i="1"/>
  <c r="C2389" i="1"/>
  <c r="C2387" i="1"/>
  <c r="C2385" i="1"/>
  <c r="C2383" i="1"/>
  <c r="C2381" i="1"/>
  <c r="C2379" i="1"/>
  <c r="C2377" i="1"/>
  <c r="C2375" i="1"/>
  <c r="C2373" i="1"/>
  <c r="C2371" i="1"/>
  <c r="C2369" i="1"/>
  <c r="C2367" i="1"/>
  <c r="C2365" i="1"/>
  <c r="C2363" i="1"/>
  <c r="C2361" i="1"/>
  <c r="C2359" i="1"/>
  <c r="C2357" i="1"/>
  <c r="C2355" i="1"/>
  <c r="C2353" i="1"/>
  <c r="C2351" i="1"/>
  <c r="C2349" i="1"/>
  <c r="C2347" i="1"/>
  <c r="C2345" i="1"/>
  <c r="C2343" i="1"/>
  <c r="C2341" i="1"/>
  <c r="C2339" i="1"/>
  <c r="C2337" i="1"/>
  <c r="C2335" i="1"/>
  <c r="C2333" i="1"/>
  <c r="C2331" i="1"/>
  <c r="C2329" i="1"/>
  <c r="C2327" i="1"/>
  <c r="C2325" i="1"/>
  <c r="C2323" i="1"/>
  <c r="C2321" i="1"/>
  <c r="C2319" i="1"/>
  <c r="C2317" i="1"/>
  <c r="C2315" i="1"/>
  <c r="C2313" i="1"/>
  <c r="C2311" i="1"/>
  <c r="C2309" i="1"/>
  <c r="C2307" i="1"/>
  <c r="C2305" i="1"/>
  <c r="C2303" i="1"/>
  <c r="C2301" i="1"/>
  <c r="C2299" i="1"/>
  <c r="C2297" i="1"/>
  <c r="C2295" i="1"/>
  <c r="C2293" i="1"/>
  <c r="C2291" i="1"/>
  <c r="C2289" i="1"/>
  <c r="C2287" i="1"/>
  <c r="C2285" i="1"/>
  <c r="C2283" i="1"/>
  <c r="C2281" i="1"/>
  <c r="C2279" i="1"/>
  <c r="C2277" i="1"/>
  <c r="C2275" i="1"/>
  <c r="C2273" i="1"/>
  <c r="C2271" i="1"/>
  <c r="C2269" i="1"/>
  <c r="C2267" i="1"/>
  <c r="C2265" i="1"/>
  <c r="C2263" i="1"/>
  <c r="C2261" i="1"/>
  <c r="C2259" i="1"/>
  <c r="C2257" i="1"/>
  <c r="C2255" i="1"/>
  <c r="C2253" i="1"/>
  <c r="C2251" i="1"/>
  <c r="C2249" i="1"/>
  <c r="C2247" i="1"/>
  <c r="C2245" i="1"/>
  <c r="C2243" i="1"/>
  <c r="C2241" i="1"/>
  <c r="C2239" i="1"/>
  <c r="C2237" i="1"/>
  <c r="C2235" i="1"/>
  <c r="C2233" i="1"/>
  <c r="C2231" i="1"/>
  <c r="C2229" i="1"/>
  <c r="C2227" i="1"/>
  <c r="C2225" i="1"/>
  <c r="C2223" i="1"/>
  <c r="C2221" i="1"/>
  <c r="C2219" i="1"/>
  <c r="C2217" i="1"/>
  <c r="C2215" i="1"/>
  <c r="C2213" i="1"/>
  <c r="C2211" i="1"/>
  <c r="C2209" i="1"/>
  <c r="C2207" i="1"/>
  <c r="C2205" i="1"/>
  <c r="C2203" i="1"/>
  <c r="C2201" i="1"/>
  <c r="C2199" i="1"/>
  <c r="C2197" i="1"/>
  <c r="C2195" i="1"/>
  <c r="C2193" i="1"/>
  <c r="C2191" i="1"/>
  <c r="C2189" i="1"/>
  <c r="C2187" i="1"/>
  <c r="C2185" i="1"/>
  <c r="C2183" i="1"/>
  <c r="C2181" i="1"/>
  <c r="C2179" i="1"/>
  <c r="C2177" i="1"/>
  <c r="C2175" i="1"/>
  <c r="C2173" i="1"/>
  <c r="C2171" i="1"/>
  <c r="C2169" i="1"/>
  <c r="C2167" i="1"/>
  <c r="C2165" i="1"/>
  <c r="C2163" i="1"/>
  <c r="C2161" i="1"/>
  <c r="C2159" i="1"/>
  <c r="C2157" i="1"/>
  <c r="C2155" i="1"/>
  <c r="C2153" i="1"/>
  <c r="C2151" i="1"/>
  <c r="C2149" i="1"/>
  <c r="C2147" i="1"/>
  <c r="C2145" i="1"/>
  <c r="C2143" i="1"/>
  <c r="C2141" i="1"/>
  <c r="C2139" i="1"/>
  <c r="C2137" i="1"/>
  <c r="C2135" i="1"/>
  <c r="C2133" i="1"/>
  <c r="C2131" i="1"/>
  <c r="C2129" i="1"/>
  <c r="C2127" i="1"/>
  <c r="C2125" i="1"/>
  <c r="C2123" i="1"/>
  <c r="C2121" i="1"/>
  <c r="C2119" i="1"/>
  <c r="C2117" i="1"/>
  <c r="C2115" i="1"/>
  <c r="C2113" i="1"/>
  <c r="C2111" i="1"/>
  <c r="C2109" i="1"/>
  <c r="C2107" i="1"/>
  <c r="C2105" i="1"/>
  <c r="C2103" i="1"/>
  <c r="C2101" i="1"/>
  <c r="C2099" i="1"/>
  <c r="C2097" i="1"/>
  <c r="C2095" i="1"/>
  <c r="C2093" i="1"/>
  <c r="C2091" i="1"/>
  <c r="C2089" i="1"/>
  <c r="C2087" i="1"/>
  <c r="C2085" i="1"/>
  <c r="C2083" i="1"/>
  <c r="C2081" i="1"/>
  <c r="C2079" i="1"/>
  <c r="C2077" i="1"/>
  <c r="C2075" i="1"/>
  <c r="C2073" i="1"/>
  <c r="C2071" i="1"/>
  <c r="C2069" i="1"/>
  <c r="C2067" i="1"/>
  <c r="C2065" i="1"/>
  <c r="C2063" i="1"/>
  <c r="C2061" i="1"/>
  <c r="C2059" i="1"/>
  <c r="C2057" i="1"/>
  <c r="C2055" i="1"/>
  <c r="C2053" i="1"/>
  <c r="C2051" i="1"/>
  <c r="C2049" i="1"/>
  <c r="C2047" i="1"/>
  <c r="C2045" i="1"/>
  <c r="C2043" i="1"/>
  <c r="C2041" i="1"/>
  <c r="C2039" i="1"/>
  <c r="C2037" i="1"/>
  <c r="C2035" i="1"/>
  <c r="C2033" i="1"/>
  <c r="C2031" i="1"/>
  <c r="C2029" i="1"/>
  <c r="C2027" i="1"/>
  <c r="C2025" i="1"/>
  <c r="C2023" i="1"/>
  <c r="C2021" i="1"/>
  <c r="C2019" i="1"/>
  <c r="C2017" i="1"/>
  <c r="C2015" i="1"/>
  <c r="C2013" i="1"/>
  <c r="C2011" i="1"/>
  <c r="C2009" i="1"/>
  <c r="D2024" i="1"/>
  <c r="C2020" i="1"/>
  <c r="C2016" i="1"/>
  <c r="C2012" i="1"/>
  <c r="C2008" i="1"/>
  <c r="C2005" i="1"/>
  <c r="D2002" i="1"/>
  <c r="C2000" i="1"/>
  <c r="C1997" i="1"/>
  <c r="D1994" i="1"/>
  <c r="C1992" i="1"/>
  <c r="C1989" i="1"/>
  <c r="D1986" i="1"/>
  <c r="C1984" i="1"/>
  <c r="C1981" i="1"/>
  <c r="D1978" i="1"/>
  <c r="C1976" i="1"/>
  <c r="C1973" i="1"/>
  <c r="D1970" i="1"/>
  <c r="C1968" i="1"/>
  <c r="C1965" i="1"/>
  <c r="D1962" i="1"/>
  <c r="C1960" i="1"/>
  <c r="C1957" i="1"/>
  <c r="D1954" i="1"/>
  <c r="C1952" i="1"/>
  <c r="C1949" i="1"/>
  <c r="D1946" i="1"/>
  <c r="C1944" i="1"/>
  <c r="D1941" i="1"/>
  <c r="D1939" i="1"/>
  <c r="D1937" i="1"/>
  <c r="D1935" i="1"/>
  <c r="D1933" i="1"/>
  <c r="D1931" i="1"/>
  <c r="D1929" i="1"/>
  <c r="D1927" i="1"/>
  <c r="D1925" i="1"/>
  <c r="D1923" i="1"/>
  <c r="D1921" i="1"/>
  <c r="D1919" i="1"/>
  <c r="D1917" i="1"/>
  <c r="D1915" i="1"/>
  <c r="D1913" i="1"/>
  <c r="D1911" i="1"/>
  <c r="D1909" i="1"/>
  <c r="D1907" i="1"/>
  <c r="D1905" i="1"/>
  <c r="D1903" i="1"/>
  <c r="D1901" i="1"/>
  <c r="D1899" i="1"/>
  <c r="D1897" i="1"/>
  <c r="D1895" i="1"/>
  <c r="D1893" i="1"/>
  <c r="D1891" i="1"/>
  <c r="D1889" i="1"/>
  <c r="D1887" i="1"/>
  <c r="D1885" i="1"/>
  <c r="D1883" i="1"/>
  <c r="D1881" i="1"/>
  <c r="D1879" i="1"/>
  <c r="D1877" i="1"/>
  <c r="D1875" i="1"/>
  <c r="D1873" i="1"/>
  <c r="D1871" i="1"/>
  <c r="D1869" i="1"/>
  <c r="D1867" i="1"/>
  <c r="D1865" i="1"/>
  <c r="D1863" i="1"/>
  <c r="D1861" i="1"/>
  <c r="D1859" i="1"/>
  <c r="D1857" i="1"/>
  <c r="D1855" i="1"/>
  <c r="D1853" i="1"/>
  <c r="D1851" i="1"/>
  <c r="D1849" i="1"/>
  <c r="D1847" i="1"/>
  <c r="D1845" i="1"/>
  <c r="D1843" i="1"/>
  <c r="D1841" i="1"/>
  <c r="D1839" i="1"/>
  <c r="D1837" i="1"/>
  <c r="D1835" i="1"/>
  <c r="D1833" i="1"/>
  <c r="D1831" i="1"/>
  <c r="D1829" i="1"/>
  <c r="D1827" i="1"/>
  <c r="D1825" i="1"/>
  <c r="D1823" i="1"/>
  <c r="D1821" i="1"/>
  <c r="D1819" i="1"/>
  <c r="D1817" i="1"/>
  <c r="D1815" i="1"/>
  <c r="D1813" i="1"/>
  <c r="D1811" i="1"/>
  <c r="D1809" i="1"/>
  <c r="D1807" i="1"/>
  <c r="D1805" i="1"/>
  <c r="D1803" i="1"/>
  <c r="D1801" i="1"/>
  <c r="D1799" i="1"/>
  <c r="D1797" i="1"/>
  <c r="D1795" i="1"/>
  <c r="D1793" i="1"/>
  <c r="D1791" i="1"/>
  <c r="D1789" i="1"/>
  <c r="D1787" i="1"/>
  <c r="D1785" i="1"/>
  <c r="D1783" i="1"/>
  <c r="D1781" i="1"/>
  <c r="D1779" i="1"/>
  <c r="D1777" i="1"/>
  <c r="D1775" i="1"/>
  <c r="D1773" i="1"/>
  <c r="D1771" i="1"/>
  <c r="D1769" i="1"/>
  <c r="D1767" i="1"/>
  <c r="D1765" i="1"/>
  <c r="D1763" i="1"/>
  <c r="D1761" i="1"/>
  <c r="D1759" i="1"/>
  <c r="D1757" i="1"/>
  <c r="D1755" i="1"/>
  <c r="D1753" i="1"/>
  <c r="D1751" i="1"/>
  <c r="D1749" i="1"/>
  <c r="D1747" i="1"/>
  <c r="D1745" i="1"/>
  <c r="D1743" i="1"/>
  <c r="D1741" i="1"/>
  <c r="D1739" i="1"/>
  <c r="D1737" i="1"/>
  <c r="D1735" i="1"/>
  <c r="D1733" i="1"/>
  <c r="D1731" i="1"/>
  <c r="D1729" i="1"/>
  <c r="D1727" i="1"/>
  <c r="D1725" i="1"/>
  <c r="D1723" i="1"/>
  <c r="D1721" i="1"/>
  <c r="D1719" i="1"/>
  <c r="D1717" i="1"/>
  <c r="D1715" i="1"/>
  <c r="D1713" i="1"/>
  <c r="D1711" i="1"/>
  <c r="D1709" i="1"/>
  <c r="D1707" i="1"/>
  <c r="D1705" i="1"/>
  <c r="D1703" i="1"/>
  <c r="D1701" i="1"/>
  <c r="D1699" i="1"/>
  <c r="D1697" i="1"/>
  <c r="D1695" i="1"/>
  <c r="D1693" i="1"/>
  <c r="D1691" i="1"/>
  <c r="D1689" i="1"/>
  <c r="D1687" i="1"/>
  <c r="D1685" i="1"/>
  <c r="D1683" i="1"/>
  <c r="D1681" i="1"/>
  <c r="D1679" i="1"/>
  <c r="D1677" i="1"/>
  <c r="D1675" i="1"/>
  <c r="D1673" i="1"/>
  <c r="D1671" i="1"/>
  <c r="D1669" i="1"/>
  <c r="D1667" i="1"/>
  <c r="D1665" i="1"/>
  <c r="D1663" i="1"/>
  <c r="D1661" i="1"/>
  <c r="D1659" i="1"/>
  <c r="D1657" i="1"/>
  <c r="D1655" i="1"/>
  <c r="D1653" i="1"/>
  <c r="D1651" i="1"/>
  <c r="D1649" i="1"/>
  <c r="D1647" i="1"/>
  <c r="D1645" i="1"/>
  <c r="D1643" i="1"/>
  <c r="D1641" i="1"/>
  <c r="D1639" i="1"/>
  <c r="D1637" i="1"/>
  <c r="D1635" i="1"/>
  <c r="D1633" i="1"/>
  <c r="D1631" i="1"/>
  <c r="D1629" i="1"/>
  <c r="D1627" i="1"/>
  <c r="D1625" i="1"/>
  <c r="D1623" i="1"/>
  <c r="D1621" i="1"/>
  <c r="D1619" i="1"/>
  <c r="D1617" i="1"/>
  <c r="D1615" i="1"/>
  <c r="D1613" i="1"/>
  <c r="D1611" i="1"/>
  <c r="D1609" i="1"/>
  <c r="D1607" i="1"/>
  <c r="D1605" i="1"/>
  <c r="D1603" i="1"/>
  <c r="D1601" i="1"/>
  <c r="D1599" i="1"/>
  <c r="D1597" i="1"/>
  <c r="D1595" i="1"/>
  <c r="D1593" i="1"/>
  <c r="D1591" i="1"/>
  <c r="D1589" i="1"/>
  <c r="D1587" i="1"/>
  <c r="D1585" i="1"/>
  <c r="D1583" i="1"/>
  <c r="D1581" i="1"/>
  <c r="D1579" i="1"/>
  <c r="D1577" i="1"/>
  <c r="D1575" i="1"/>
  <c r="D1573" i="1"/>
  <c r="D1571" i="1"/>
  <c r="D1569" i="1"/>
  <c r="D1567" i="1"/>
  <c r="D1565" i="1"/>
  <c r="D1563" i="1"/>
  <c r="D1561" i="1"/>
  <c r="D1559" i="1"/>
  <c r="D1557" i="1"/>
  <c r="D1555" i="1"/>
  <c r="D1553" i="1"/>
  <c r="D1551" i="1"/>
  <c r="D1549" i="1"/>
  <c r="D1547" i="1"/>
  <c r="D1545" i="1"/>
  <c r="D1543" i="1"/>
  <c r="D1541" i="1"/>
  <c r="D1539" i="1"/>
  <c r="D1537" i="1"/>
  <c r="D1535" i="1"/>
  <c r="D1533" i="1"/>
  <c r="D1531" i="1"/>
  <c r="D1529" i="1"/>
  <c r="D1527" i="1"/>
  <c r="D1525" i="1"/>
  <c r="D1523" i="1"/>
  <c r="D1521" i="1"/>
  <c r="D1519" i="1"/>
  <c r="D1517" i="1"/>
  <c r="D1515" i="1"/>
  <c r="D1513" i="1"/>
  <c r="D1511" i="1"/>
  <c r="D1509" i="1"/>
  <c r="D1507" i="1"/>
  <c r="D1505" i="1"/>
  <c r="D1503" i="1"/>
  <c r="D1501" i="1"/>
  <c r="D1499" i="1"/>
  <c r="D1497" i="1"/>
  <c r="D1495" i="1"/>
  <c r="D1493" i="1"/>
  <c r="D1491" i="1"/>
  <c r="D2022" i="1"/>
  <c r="D2018" i="1"/>
  <c r="D2014" i="1"/>
  <c r="D2010" i="1"/>
  <c r="C2007" i="1"/>
  <c r="D2004" i="1"/>
  <c r="C2002" i="1"/>
  <c r="C1999" i="1"/>
  <c r="D1996" i="1"/>
  <c r="C1994" i="1"/>
  <c r="C1991" i="1"/>
  <c r="D1988" i="1"/>
  <c r="C1986" i="1"/>
  <c r="C1983" i="1"/>
  <c r="D1980" i="1"/>
  <c r="C1978" i="1"/>
  <c r="C1975" i="1"/>
  <c r="D1972" i="1"/>
  <c r="C1970" i="1"/>
  <c r="C1967" i="1"/>
  <c r="D1964" i="1"/>
  <c r="C1962" i="1"/>
  <c r="C1959" i="1"/>
  <c r="D1956" i="1"/>
  <c r="C1954" i="1"/>
  <c r="C1951" i="1"/>
  <c r="D1948" i="1"/>
  <c r="C1946" i="1"/>
  <c r="C1943" i="1"/>
  <c r="C1941" i="1"/>
  <c r="C1939" i="1"/>
  <c r="C1937" i="1"/>
  <c r="C1935" i="1"/>
  <c r="C1933" i="1"/>
  <c r="C1931" i="1"/>
  <c r="C1929" i="1"/>
  <c r="C1927" i="1"/>
  <c r="C1925" i="1"/>
  <c r="C1923" i="1"/>
  <c r="C1921" i="1"/>
  <c r="C1919" i="1"/>
  <c r="C1917" i="1"/>
  <c r="C1915" i="1"/>
  <c r="C1913" i="1"/>
  <c r="C1911" i="1"/>
  <c r="C1909" i="1"/>
  <c r="C1907" i="1"/>
  <c r="C1905" i="1"/>
  <c r="C1903" i="1"/>
  <c r="C1901" i="1"/>
  <c r="C1899" i="1"/>
  <c r="C1897" i="1"/>
  <c r="C1895" i="1"/>
  <c r="C1893" i="1"/>
  <c r="C1891" i="1"/>
  <c r="C1889" i="1"/>
  <c r="C1887" i="1"/>
  <c r="C1885" i="1"/>
  <c r="C1883" i="1"/>
  <c r="C1881" i="1"/>
  <c r="C1879" i="1"/>
  <c r="C1877" i="1"/>
  <c r="C1875" i="1"/>
  <c r="C1873" i="1"/>
  <c r="C1871" i="1"/>
  <c r="C1869" i="1"/>
  <c r="C1867" i="1"/>
  <c r="C1865" i="1"/>
  <c r="C1863" i="1"/>
  <c r="C1861" i="1"/>
  <c r="C1859" i="1"/>
  <c r="C1857" i="1"/>
  <c r="C1855" i="1"/>
  <c r="C1853" i="1"/>
  <c r="C1851" i="1"/>
  <c r="C1849" i="1"/>
  <c r="C1847" i="1"/>
  <c r="C1845" i="1"/>
  <c r="C1843" i="1"/>
  <c r="C1841" i="1"/>
  <c r="C1839" i="1"/>
  <c r="C1837" i="1"/>
  <c r="C1835" i="1"/>
  <c r="C1833" i="1"/>
  <c r="C1831" i="1"/>
  <c r="C1829" i="1"/>
  <c r="C1827" i="1"/>
  <c r="C1825" i="1"/>
  <c r="C1823" i="1"/>
  <c r="C1821" i="1"/>
  <c r="C1819" i="1"/>
  <c r="C1817" i="1"/>
  <c r="C1815" i="1"/>
  <c r="C1813" i="1"/>
  <c r="C1811" i="1"/>
  <c r="C1809" i="1"/>
  <c r="C1807" i="1"/>
  <c r="C1805" i="1"/>
  <c r="C1803" i="1"/>
  <c r="C1801" i="1"/>
  <c r="C1799" i="1"/>
  <c r="C1797" i="1"/>
  <c r="C1795" i="1"/>
  <c r="C1793" i="1"/>
  <c r="C1791" i="1"/>
  <c r="C1789" i="1"/>
  <c r="C1787" i="1"/>
  <c r="C1785" i="1"/>
  <c r="C1783" i="1"/>
  <c r="C1781" i="1"/>
  <c r="C1779" i="1"/>
  <c r="C1777" i="1"/>
  <c r="C1775" i="1"/>
  <c r="C1773" i="1"/>
  <c r="C1771" i="1"/>
  <c r="C1769" i="1"/>
  <c r="C1767" i="1"/>
  <c r="C1765" i="1"/>
  <c r="C1763" i="1"/>
  <c r="C1761" i="1"/>
  <c r="C1759" i="1"/>
  <c r="C1757" i="1"/>
  <c r="C1755" i="1"/>
  <c r="C1753" i="1"/>
  <c r="C1751" i="1"/>
  <c r="C1749" i="1"/>
  <c r="C1747" i="1"/>
  <c r="C1745" i="1"/>
  <c r="C1743" i="1"/>
  <c r="C1741" i="1"/>
  <c r="C1739" i="1"/>
  <c r="C1737" i="1"/>
  <c r="C1735" i="1"/>
  <c r="C1733" i="1"/>
  <c r="C1731" i="1"/>
  <c r="C1729" i="1"/>
  <c r="C1727" i="1"/>
  <c r="C1725" i="1"/>
  <c r="C1723" i="1"/>
  <c r="C1721" i="1"/>
  <c r="C1719" i="1"/>
  <c r="C1717" i="1"/>
  <c r="C1715" i="1"/>
  <c r="C1713" i="1"/>
  <c r="C1711" i="1"/>
  <c r="C1709" i="1"/>
  <c r="C1707" i="1"/>
  <c r="C1705" i="1"/>
  <c r="C1703" i="1"/>
  <c r="C1701" i="1"/>
  <c r="C1699" i="1"/>
  <c r="C1697" i="1"/>
  <c r="C1695" i="1"/>
  <c r="C1693" i="1"/>
  <c r="C1691" i="1"/>
  <c r="C1689" i="1"/>
  <c r="C1687" i="1"/>
  <c r="C1685" i="1"/>
  <c r="C1683" i="1"/>
  <c r="C1681" i="1"/>
  <c r="C1679" i="1"/>
  <c r="C1677" i="1"/>
  <c r="C1675" i="1"/>
  <c r="C1673" i="1"/>
  <c r="C1671" i="1"/>
  <c r="C1669" i="1"/>
  <c r="C1667" i="1"/>
  <c r="C1665" i="1"/>
  <c r="C1663" i="1"/>
  <c r="C1661" i="1"/>
  <c r="C1659" i="1"/>
  <c r="C1657" i="1"/>
  <c r="C1655" i="1"/>
  <c r="C1653" i="1"/>
  <c r="C1651" i="1"/>
  <c r="C1649" i="1"/>
  <c r="C1647" i="1"/>
  <c r="C1645" i="1"/>
  <c r="C1643" i="1"/>
  <c r="C1641" i="1"/>
  <c r="C1639" i="1"/>
  <c r="C1637" i="1"/>
  <c r="C1635" i="1"/>
  <c r="C1633" i="1"/>
  <c r="C1631" i="1"/>
  <c r="C1629" i="1"/>
  <c r="C1627" i="1"/>
  <c r="C1625" i="1"/>
  <c r="C1623" i="1"/>
  <c r="C1621" i="1"/>
  <c r="C1619" i="1"/>
  <c r="C1617" i="1"/>
  <c r="C1615" i="1"/>
  <c r="C1613" i="1"/>
  <c r="C1611" i="1"/>
  <c r="C1609" i="1"/>
  <c r="C1607" i="1"/>
  <c r="C1605" i="1"/>
  <c r="C1603" i="1"/>
  <c r="C1601" i="1"/>
  <c r="C1599" i="1"/>
  <c r="C1597" i="1"/>
  <c r="C1595" i="1"/>
  <c r="C1593" i="1"/>
  <c r="C1591" i="1"/>
  <c r="C1589" i="1"/>
  <c r="C1587" i="1"/>
  <c r="C1585" i="1"/>
  <c r="C1583" i="1"/>
  <c r="C1581" i="1"/>
  <c r="C1579" i="1"/>
  <c r="C1577" i="1"/>
  <c r="C1575" i="1"/>
  <c r="C1573" i="1"/>
  <c r="C1571" i="1"/>
  <c r="C1569" i="1"/>
  <c r="C1567" i="1"/>
  <c r="C1565" i="1"/>
  <c r="C1563" i="1"/>
  <c r="C1561" i="1"/>
  <c r="C1559" i="1"/>
  <c r="C1557" i="1"/>
  <c r="C1555" i="1"/>
  <c r="C1553" i="1"/>
  <c r="C1551" i="1"/>
  <c r="C1549" i="1"/>
  <c r="C1547" i="1"/>
  <c r="C1545" i="1"/>
  <c r="C1543" i="1"/>
  <c r="C1541" i="1"/>
  <c r="C1539" i="1"/>
  <c r="C1537" i="1"/>
  <c r="C1535" i="1"/>
  <c r="C1533" i="1"/>
  <c r="C1531" i="1"/>
  <c r="C1529" i="1"/>
  <c r="C1527" i="1"/>
  <c r="C1525" i="1"/>
  <c r="C1523" i="1"/>
  <c r="C1521" i="1"/>
  <c r="C1519" i="1"/>
  <c r="C1517" i="1"/>
  <c r="C1515" i="1"/>
  <c r="C1513" i="1"/>
  <c r="C1511" i="1"/>
  <c r="C1509" i="1"/>
  <c r="C1507" i="1"/>
  <c r="C1505" i="1"/>
  <c r="C1503" i="1"/>
  <c r="C1501" i="1"/>
  <c r="C1499" i="1"/>
  <c r="C1497" i="1"/>
  <c r="C1495" i="1"/>
  <c r="C2022" i="1"/>
  <c r="C2018" i="1"/>
  <c r="C2014" i="1"/>
  <c r="C2010" i="1"/>
  <c r="D2006" i="1"/>
  <c r="C2004" i="1"/>
  <c r="C2001" i="1"/>
  <c r="D1998" i="1"/>
  <c r="C1996" i="1"/>
  <c r="C1993" i="1"/>
  <c r="D1990" i="1"/>
  <c r="C1988" i="1"/>
  <c r="C1985" i="1"/>
  <c r="D1982" i="1"/>
  <c r="C1980" i="1"/>
  <c r="C1977" i="1"/>
  <c r="D1974" i="1"/>
  <c r="C1972" i="1"/>
  <c r="C1969" i="1"/>
  <c r="D1966" i="1"/>
  <c r="C1964" i="1"/>
  <c r="C1961" i="1"/>
  <c r="D1958" i="1"/>
  <c r="C1956" i="1"/>
  <c r="C1953" i="1"/>
  <c r="D1950" i="1"/>
  <c r="C1948" i="1"/>
  <c r="C1945" i="1"/>
  <c r="D1942" i="1"/>
  <c r="D1940" i="1"/>
  <c r="D1938" i="1"/>
  <c r="D1936" i="1"/>
  <c r="D1934" i="1"/>
  <c r="D1932" i="1"/>
  <c r="D1930" i="1"/>
  <c r="D1928" i="1"/>
  <c r="D1926" i="1"/>
  <c r="D1924" i="1"/>
  <c r="D1922" i="1"/>
  <c r="D1920" i="1"/>
  <c r="D1918" i="1"/>
  <c r="D1916" i="1"/>
  <c r="D1914" i="1"/>
  <c r="D1912" i="1"/>
  <c r="D1910" i="1"/>
  <c r="D1908" i="1"/>
  <c r="D1906" i="1"/>
  <c r="D1904" i="1"/>
  <c r="D1902" i="1"/>
  <c r="D1900" i="1"/>
  <c r="D1898" i="1"/>
  <c r="D1896" i="1"/>
  <c r="D1894" i="1"/>
  <c r="D1892" i="1"/>
  <c r="D1890" i="1"/>
  <c r="D1888" i="1"/>
  <c r="D1886" i="1"/>
  <c r="D1884" i="1"/>
  <c r="D1882" i="1"/>
  <c r="D1880" i="1"/>
  <c r="D1878" i="1"/>
  <c r="D1876" i="1"/>
  <c r="D1874" i="1"/>
  <c r="D1872" i="1"/>
  <c r="D1870" i="1"/>
  <c r="D1868" i="1"/>
  <c r="D1866" i="1"/>
  <c r="D1864" i="1"/>
  <c r="D1862" i="1"/>
  <c r="D1860" i="1"/>
  <c r="D1858" i="1"/>
  <c r="D1856" i="1"/>
  <c r="D1854" i="1"/>
  <c r="D1852" i="1"/>
  <c r="D1850" i="1"/>
  <c r="D1848" i="1"/>
  <c r="D1846" i="1"/>
  <c r="D1844" i="1"/>
  <c r="D1842" i="1"/>
  <c r="D1840" i="1"/>
  <c r="D1838" i="1"/>
  <c r="D1836" i="1"/>
  <c r="D1834" i="1"/>
  <c r="D1832" i="1"/>
  <c r="D1830" i="1"/>
  <c r="D1828" i="1"/>
  <c r="D1826" i="1"/>
  <c r="D1824" i="1"/>
  <c r="D1822" i="1"/>
  <c r="D1820" i="1"/>
  <c r="D1818" i="1"/>
  <c r="D1816" i="1"/>
  <c r="D1814" i="1"/>
  <c r="D1812" i="1"/>
  <c r="D1810" i="1"/>
  <c r="D1808" i="1"/>
  <c r="D1806" i="1"/>
  <c r="D1804" i="1"/>
  <c r="D1802" i="1"/>
  <c r="D1800" i="1"/>
  <c r="D1798" i="1"/>
  <c r="D1796" i="1"/>
  <c r="D1794" i="1"/>
  <c r="D1792" i="1"/>
  <c r="D1790" i="1"/>
  <c r="D1788" i="1"/>
  <c r="D1786" i="1"/>
  <c r="D1784" i="1"/>
  <c r="D1782" i="1"/>
  <c r="D1780" i="1"/>
  <c r="D1778" i="1"/>
  <c r="D1776" i="1"/>
  <c r="D1774" i="1"/>
  <c r="D1772" i="1"/>
  <c r="D1770" i="1"/>
  <c r="D1768" i="1"/>
  <c r="D1766" i="1"/>
  <c r="D1764" i="1"/>
  <c r="D1762" i="1"/>
  <c r="D1760" i="1"/>
  <c r="D1758" i="1"/>
  <c r="D1756" i="1"/>
  <c r="D1754" i="1"/>
  <c r="D1752" i="1"/>
  <c r="D1750" i="1"/>
  <c r="D1748" i="1"/>
  <c r="D1746" i="1"/>
  <c r="D1744" i="1"/>
  <c r="D1742" i="1"/>
  <c r="D1740" i="1"/>
  <c r="D1738" i="1"/>
  <c r="D1736" i="1"/>
  <c r="D1734" i="1"/>
  <c r="D1732" i="1"/>
  <c r="D1730" i="1"/>
  <c r="D1728" i="1"/>
  <c r="D1726" i="1"/>
  <c r="D1724" i="1"/>
  <c r="D1722" i="1"/>
  <c r="D1720" i="1"/>
  <c r="D1718" i="1"/>
  <c r="D1716" i="1"/>
  <c r="D1714" i="1"/>
  <c r="D1712" i="1"/>
  <c r="D1710" i="1"/>
  <c r="D1708" i="1"/>
  <c r="D1706" i="1"/>
  <c r="D1704" i="1"/>
  <c r="D1702" i="1"/>
  <c r="D1700" i="1"/>
  <c r="D1698" i="1"/>
  <c r="D1696" i="1"/>
  <c r="D1694" i="1"/>
  <c r="D1692" i="1"/>
  <c r="D1690" i="1"/>
  <c r="D1688" i="1"/>
  <c r="D1686" i="1"/>
  <c r="D1684" i="1"/>
  <c r="D1682" i="1"/>
  <c r="D1680" i="1"/>
  <c r="D1678" i="1"/>
  <c r="D1676" i="1"/>
  <c r="D1674" i="1"/>
  <c r="D1672" i="1"/>
  <c r="D1670" i="1"/>
  <c r="D1668" i="1"/>
  <c r="D1666" i="1"/>
  <c r="D1664" i="1"/>
  <c r="D1662" i="1"/>
  <c r="D1660" i="1"/>
  <c r="D1658" i="1"/>
  <c r="D1656" i="1"/>
  <c r="D1654" i="1"/>
  <c r="D1652" i="1"/>
  <c r="D1650" i="1"/>
  <c r="D1648" i="1"/>
  <c r="D1646" i="1"/>
  <c r="D1644" i="1"/>
  <c r="D1642" i="1"/>
  <c r="D1640" i="1"/>
  <c r="D1638" i="1"/>
  <c r="D1636" i="1"/>
  <c r="D1634" i="1"/>
  <c r="D1632" i="1"/>
  <c r="D1630" i="1"/>
  <c r="D1628" i="1"/>
  <c r="D1626" i="1"/>
  <c r="D1624" i="1"/>
  <c r="D1622" i="1"/>
  <c r="D1620" i="1"/>
  <c r="D1618" i="1"/>
  <c r="D1616" i="1"/>
  <c r="D1614" i="1"/>
  <c r="D1612" i="1"/>
  <c r="D1610" i="1"/>
  <c r="D1608" i="1"/>
  <c r="D1606" i="1"/>
  <c r="D1604" i="1"/>
  <c r="D1602" i="1"/>
  <c r="D1600" i="1"/>
  <c r="D1598" i="1"/>
  <c r="D1596" i="1"/>
  <c r="D1594" i="1"/>
  <c r="D1592" i="1"/>
  <c r="D1590" i="1"/>
  <c r="D1588" i="1"/>
  <c r="D1586" i="1"/>
  <c r="D1584" i="1"/>
  <c r="D1582" i="1"/>
  <c r="D1580" i="1"/>
  <c r="D1578" i="1"/>
  <c r="D1576" i="1"/>
  <c r="D1574" i="1"/>
  <c r="D1572" i="1"/>
  <c r="D1570" i="1"/>
  <c r="D1568" i="1"/>
  <c r="D1566" i="1"/>
  <c r="D1564" i="1"/>
  <c r="D1562" i="1"/>
  <c r="D1560" i="1"/>
  <c r="D1558" i="1"/>
  <c r="D1556" i="1"/>
  <c r="D1554" i="1"/>
  <c r="D1552" i="1"/>
  <c r="D1550" i="1"/>
  <c r="D1548" i="1"/>
  <c r="D1546" i="1"/>
  <c r="D1544" i="1"/>
  <c r="D1542" i="1"/>
  <c r="D1540" i="1"/>
  <c r="D1538" i="1"/>
  <c r="D1536" i="1"/>
  <c r="D1534" i="1"/>
  <c r="D1532" i="1"/>
  <c r="D1530" i="1"/>
  <c r="D1528" i="1"/>
  <c r="D1526" i="1"/>
  <c r="D1524" i="1"/>
  <c r="D1522" i="1"/>
  <c r="D1520" i="1"/>
  <c r="D1518" i="1"/>
  <c r="D1516" i="1"/>
  <c r="D1514" i="1"/>
  <c r="D1512" i="1"/>
  <c r="D1510" i="1"/>
  <c r="D1508" i="1"/>
  <c r="D1506" i="1"/>
  <c r="D1504" i="1"/>
  <c r="D1502" i="1"/>
  <c r="D1500" i="1"/>
  <c r="D1498" i="1"/>
  <c r="D1496" i="1"/>
  <c r="D1494" i="1"/>
  <c r="D1492" i="1"/>
  <c r="D1490" i="1"/>
  <c r="D1488" i="1"/>
  <c r="D1486" i="1"/>
  <c r="D1484" i="1"/>
  <c r="D1482" i="1"/>
  <c r="D1480" i="1"/>
  <c r="D1478" i="1"/>
  <c r="D1476" i="1"/>
  <c r="D1474" i="1"/>
  <c r="D1472" i="1"/>
  <c r="D1470" i="1"/>
  <c r="D1468" i="1"/>
  <c r="D1466" i="1"/>
  <c r="D1464" i="1"/>
  <c r="D1462" i="1"/>
  <c r="D1460" i="1"/>
  <c r="D1458" i="1"/>
  <c r="D1456" i="1"/>
  <c r="D1454" i="1"/>
  <c r="D1452" i="1"/>
  <c r="D1450" i="1"/>
  <c r="D1448" i="1"/>
  <c r="D1446" i="1"/>
  <c r="D1444" i="1"/>
  <c r="D1442" i="1"/>
  <c r="D1440" i="1"/>
  <c r="D1438" i="1"/>
  <c r="D1436" i="1"/>
  <c r="D1434" i="1"/>
  <c r="D1432" i="1"/>
  <c r="D1430" i="1"/>
  <c r="D1428" i="1"/>
  <c r="D1426" i="1"/>
  <c r="D1424" i="1"/>
  <c r="D1422" i="1"/>
  <c r="D1420" i="1"/>
  <c r="D1418" i="1"/>
  <c r="D1416" i="1"/>
  <c r="D1414" i="1"/>
  <c r="D1412" i="1"/>
  <c r="D1410" i="1"/>
  <c r="D1408" i="1"/>
  <c r="D1406" i="1"/>
  <c r="D1404" i="1"/>
  <c r="D1402" i="1"/>
  <c r="D2020" i="1"/>
  <c r="D2016" i="1"/>
  <c r="D2012" i="1"/>
  <c r="D2008" i="1"/>
  <c r="C2006" i="1"/>
  <c r="C2003" i="1"/>
  <c r="D2000" i="1"/>
  <c r="C1998" i="1"/>
  <c r="C1995" i="1"/>
  <c r="D1992" i="1"/>
  <c r="C1990" i="1"/>
  <c r="C1987" i="1"/>
  <c r="D1984" i="1"/>
  <c r="C1982" i="1"/>
  <c r="C1979" i="1"/>
  <c r="D1976" i="1"/>
  <c r="C1974" i="1"/>
  <c r="C1971" i="1"/>
  <c r="D1968" i="1"/>
  <c r="C1966" i="1"/>
  <c r="C1963" i="1"/>
  <c r="D1960" i="1"/>
  <c r="C1958" i="1"/>
  <c r="C1955" i="1"/>
  <c r="D1952" i="1"/>
  <c r="C1950" i="1"/>
  <c r="C1947" i="1"/>
  <c r="D1944" i="1"/>
  <c r="C1942" i="1"/>
  <c r="C1940" i="1"/>
  <c r="C1938" i="1"/>
  <c r="C1936" i="1"/>
  <c r="C1934" i="1"/>
  <c r="C1932" i="1"/>
  <c r="C1930" i="1"/>
  <c r="C1928" i="1"/>
  <c r="C1926" i="1"/>
  <c r="C1924" i="1"/>
  <c r="C1922" i="1"/>
  <c r="C1920" i="1"/>
  <c r="C1918" i="1"/>
  <c r="C1916" i="1"/>
  <c r="C1914" i="1"/>
  <c r="C1912" i="1"/>
  <c r="C1910" i="1"/>
  <c r="C1908" i="1"/>
  <c r="C1906" i="1"/>
  <c r="C1904" i="1"/>
  <c r="C1902" i="1"/>
  <c r="C1900" i="1"/>
  <c r="C1898" i="1"/>
  <c r="C1896" i="1"/>
  <c r="C1894" i="1"/>
  <c r="C1892" i="1"/>
  <c r="C1890" i="1"/>
  <c r="C1888" i="1"/>
  <c r="C1886" i="1"/>
  <c r="C1884" i="1"/>
  <c r="C1882" i="1"/>
  <c r="C1880" i="1"/>
  <c r="C1878" i="1"/>
  <c r="C1876" i="1"/>
  <c r="C1874" i="1"/>
  <c r="C1872" i="1"/>
  <c r="C1870" i="1"/>
  <c r="C1868" i="1"/>
  <c r="C1866" i="1"/>
  <c r="C1864" i="1"/>
  <c r="C1862" i="1"/>
  <c r="C1860" i="1"/>
  <c r="C1858" i="1"/>
  <c r="C1856" i="1"/>
  <c r="C1854" i="1"/>
  <c r="C1852" i="1"/>
  <c r="C1850" i="1"/>
  <c r="C1848" i="1"/>
  <c r="C1846" i="1"/>
  <c r="C1844" i="1"/>
  <c r="C1842" i="1"/>
  <c r="C1840" i="1"/>
  <c r="C1838" i="1"/>
  <c r="C1836" i="1"/>
  <c r="C1834" i="1"/>
  <c r="C1832" i="1"/>
  <c r="C1830" i="1"/>
  <c r="C1828" i="1"/>
  <c r="C1826" i="1"/>
  <c r="C1824" i="1"/>
  <c r="C1822" i="1"/>
  <c r="C1820" i="1"/>
  <c r="C1818" i="1"/>
  <c r="C1816" i="1"/>
  <c r="C1814" i="1"/>
  <c r="C1812" i="1"/>
  <c r="C1810" i="1"/>
  <c r="C1808" i="1"/>
  <c r="C1806" i="1"/>
  <c r="C1804" i="1"/>
  <c r="C1802" i="1"/>
  <c r="C1800" i="1"/>
  <c r="C1798" i="1"/>
  <c r="C1796" i="1"/>
  <c r="C1794" i="1"/>
  <c r="C1792" i="1"/>
  <c r="C1790" i="1"/>
  <c r="C1788" i="1"/>
  <c r="C1786" i="1"/>
  <c r="C1784" i="1"/>
  <c r="C1782" i="1"/>
  <c r="C1780" i="1"/>
  <c r="C1778" i="1"/>
  <c r="C1776" i="1"/>
  <c r="C1774" i="1"/>
  <c r="C1772" i="1"/>
  <c r="C1770" i="1"/>
  <c r="C1768" i="1"/>
  <c r="C1766" i="1"/>
  <c r="C1764" i="1"/>
  <c r="C1762" i="1"/>
  <c r="C1760" i="1"/>
  <c r="C1758" i="1"/>
  <c r="C1756" i="1"/>
  <c r="C1754" i="1"/>
  <c r="C1752" i="1"/>
  <c r="C1750" i="1"/>
  <c r="C1748" i="1"/>
  <c r="C1746" i="1"/>
  <c r="C1744" i="1"/>
  <c r="C1742" i="1"/>
  <c r="C1740" i="1"/>
  <c r="C1738" i="1"/>
  <c r="C1736" i="1"/>
  <c r="C1734" i="1"/>
  <c r="C1732" i="1"/>
  <c r="C1730" i="1"/>
  <c r="C1728" i="1"/>
  <c r="C1726" i="1"/>
  <c r="C1724" i="1"/>
  <c r="C1722" i="1"/>
  <c r="C1720" i="1"/>
  <c r="C1718" i="1"/>
  <c r="C1716" i="1"/>
  <c r="C1714" i="1"/>
  <c r="C1712" i="1"/>
  <c r="C1710" i="1"/>
  <c r="C1708" i="1"/>
  <c r="C1706" i="1"/>
  <c r="C1704" i="1"/>
  <c r="C1702" i="1"/>
  <c r="C1700" i="1"/>
  <c r="C1698" i="1"/>
  <c r="C1696" i="1"/>
  <c r="C1694" i="1"/>
  <c r="C1692" i="1"/>
  <c r="C1690" i="1"/>
  <c r="C1688" i="1"/>
  <c r="C1686" i="1"/>
  <c r="C1684" i="1"/>
  <c r="C1682" i="1"/>
  <c r="C1680" i="1"/>
  <c r="C1678" i="1"/>
  <c r="C1676" i="1"/>
  <c r="C1674" i="1"/>
  <c r="C1672" i="1"/>
  <c r="C1670" i="1"/>
  <c r="C1668" i="1"/>
  <c r="C1666" i="1"/>
  <c r="C1664" i="1"/>
  <c r="C1662" i="1"/>
  <c r="C1660" i="1"/>
  <c r="C1658" i="1"/>
  <c r="C1656" i="1"/>
  <c r="C1654" i="1"/>
  <c r="C1652" i="1"/>
  <c r="C1650" i="1"/>
  <c r="C1648" i="1"/>
  <c r="C1646" i="1"/>
  <c r="C1644" i="1"/>
  <c r="C1642" i="1"/>
  <c r="C1640" i="1"/>
  <c r="C1638" i="1"/>
  <c r="C1636" i="1"/>
  <c r="C1634" i="1"/>
  <c r="C1632" i="1"/>
  <c r="C1630" i="1"/>
  <c r="C1628" i="1"/>
  <c r="C1626" i="1"/>
  <c r="C1624" i="1"/>
  <c r="C1622" i="1"/>
  <c r="C1620" i="1"/>
  <c r="C1618" i="1"/>
  <c r="C1616" i="1"/>
  <c r="C1614" i="1"/>
  <c r="C1612" i="1"/>
  <c r="C1610" i="1"/>
  <c r="C1608" i="1"/>
  <c r="C1606" i="1"/>
  <c r="C1604" i="1"/>
  <c r="C1602" i="1"/>
  <c r="C1600" i="1"/>
  <c r="C1598" i="1"/>
  <c r="C1596" i="1"/>
  <c r="C1594" i="1"/>
  <c r="C1592" i="1"/>
  <c r="C1590" i="1"/>
  <c r="C1588" i="1"/>
  <c r="C1586" i="1"/>
  <c r="C1584" i="1"/>
  <c r="C1582" i="1"/>
  <c r="C1580" i="1"/>
  <c r="C1578" i="1"/>
  <c r="C1576" i="1"/>
  <c r="C1574" i="1"/>
  <c r="C1572" i="1"/>
  <c r="C1570" i="1"/>
  <c r="C1568" i="1"/>
  <c r="C1566" i="1"/>
  <c r="C1564" i="1"/>
  <c r="C1562" i="1"/>
  <c r="C1560" i="1"/>
  <c r="C1558" i="1"/>
  <c r="C1556" i="1"/>
  <c r="C1554" i="1"/>
  <c r="C1552" i="1"/>
  <c r="C1550" i="1"/>
  <c r="C1548" i="1"/>
  <c r="C1546" i="1"/>
  <c r="C1544" i="1"/>
  <c r="C1542" i="1"/>
  <c r="C1540" i="1"/>
  <c r="C1538" i="1"/>
  <c r="C1536" i="1"/>
  <c r="C1534" i="1"/>
  <c r="C1532" i="1"/>
  <c r="C1530" i="1"/>
  <c r="C1528" i="1"/>
  <c r="C1526" i="1"/>
  <c r="C1524" i="1"/>
  <c r="C1522" i="1"/>
  <c r="C1520" i="1"/>
  <c r="C1518" i="1"/>
  <c r="C1516" i="1"/>
  <c r="C1514" i="1"/>
  <c r="C1512" i="1"/>
  <c r="C1510" i="1"/>
  <c r="C1508" i="1"/>
  <c r="C1506" i="1"/>
  <c r="C1504" i="1"/>
  <c r="C1502" i="1"/>
  <c r="C1494" i="1"/>
  <c r="C1490" i="1"/>
  <c r="D1487" i="1"/>
  <c r="C1485" i="1"/>
  <c r="C1482" i="1"/>
  <c r="D1479" i="1"/>
  <c r="C1477" i="1"/>
  <c r="C1474" i="1"/>
  <c r="D1471" i="1"/>
  <c r="C1469" i="1"/>
  <c r="C1466" i="1"/>
  <c r="D1463" i="1"/>
  <c r="C1461" i="1"/>
  <c r="C1458" i="1"/>
  <c r="D1455" i="1"/>
  <c r="C1453" i="1"/>
  <c r="C1450" i="1"/>
  <c r="D1447" i="1"/>
  <c r="C1445" i="1"/>
  <c r="C1442" i="1"/>
  <c r="D1439" i="1"/>
  <c r="C1437" i="1"/>
  <c r="C1434" i="1"/>
  <c r="D1431" i="1"/>
  <c r="C1429" i="1"/>
  <c r="C1426" i="1"/>
  <c r="D1423" i="1"/>
  <c r="C1421" i="1"/>
  <c r="C1418" i="1"/>
  <c r="D1415" i="1"/>
  <c r="C1413" i="1"/>
  <c r="C1410" i="1"/>
  <c r="D1407" i="1"/>
  <c r="C1405" i="1"/>
  <c r="C1402" i="1"/>
  <c r="C1400" i="1"/>
  <c r="C1398" i="1"/>
  <c r="C1396" i="1"/>
  <c r="C1394" i="1"/>
  <c r="C1392" i="1"/>
  <c r="C1390" i="1"/>
  <c r="C1388" i="1"/>
  <c r="C1386" i="1"/>
  <c r="C1384" i="1"/>
  <c r="C1382" i="1"/>
  <c r="C1380" i="1"/>
  <c r="C1378" i="1"/>
  <c r="C1376" i="1"/>
  <c r="C1374" i="1"/>
  <c r="C1372" i="1"/>
  <c r="C1370" i="1"/>
  <c r="C1368" i="1"/>
  <c r="C1366" i="1"/>
  <c r="C1364" i="1"/>
  <c r="C1362" i="1"/>
  <c r="C1360" i="1"/>
  <c r="C1358" i="1"/>
  <c r="C1356" i="1"/>
  <c r="C1354" i="1"/>
  <c r="C1352" i="1"/>
  <c r="C1350" i="1"/>
  <c r="C1348" i="1"/>
  <c r="C1346" i="1"/>
  <c r="C1344" i="1"/>
  <c r="C1342" i="1"/>
  <c r="C1340" i="1"/>
  <c r="C1338" i="1"/>
  <c r="C1336" i="1"/>
  <c r="C1334" i="1"/>
  <c r="C1332" i="1"/>
  <c r="C1330" i="1"/>
  <c r="C1328" i="1"/>
  <c r="C1326" i="1"/>
  <c r="C1324" i="1"/>
  <c r="C1322" i="1"/>
  <c r="C1320" i="1"/>
  <c r="C1318" i="1"/>
  <c r="C1316" i="1"/>
  <c r="C1314" i="1"/>
  <c r="C1312" i="1"/>
  <c r="C1310" i="1"/>
  <c r="C1308" i="1"/>
  <c r="C1306" i="1"/>
  <c r="C1304" i="1"/>
  <c r="C1302" i="1"/>
  <c r="C1300" i="1"/>
  <c r="C1298" i="1"/>
  <c r="C1296" i="1"/>
  <c r="C1294" i="1"/>
  <c r="C1292" i="1"/>
  <c r="C1290" i="1"/>
  <c r="C1288" i="1"/>
  <c r="C1286" i="1"/>
  <c r="C1284" i="1"/>
  <c r="C1282" i="1"/>
  <c r="C1280" i="1"/>
  <c r="C1278" i="1"/>
  <c r="C1276" i="1"/>
  <c r="C1274" i="1"/>
  <c r="C1272" i="1"/>
  <c r="C1270" i="1"/>
  <c r="C1268" i="1"/>
  <c r="C1266" i="1"/>
  <c r="C1264" i="1"/>
  <c r="C1262" i="1"/>
  <c r="C1260" i="1"/>
  <c r="C1258" i="1"/>
  <c r="C1256" i="1"/>
  <c r="C1254" i="1"/>
  <c r="C1252" i="1"/>
  <c r="C1250" i="1"/>
  <c r="C1248" i="1"/>
  <c r="C1246" i="1"/>
  <c r="C1244" i="1"/>
  <c r="C1242" i="1"/>
  <c r="C1240" i="1"/>
  <c r="C1238" i="1"/>
  <c r="C1236" i="1"/>
  <c r="C1234" i="1"/>
  <c r="C1232" i="1"/>
  <c r="C1230" i="1"/>
  <c r="C1228" i="1"/>
  <c r="C1226" i="1"/>
  <c r="C1224" i="1"/>
  <c r="C1222" i="1"/>
  <c r="C1220" i="1"/>
  <c r="C1218" i="1"/>
  <c r="C1216" i="1"/>
  <c r="C1214" i="1"/>
  <c r="C1212" i="1"/>
  <c r="C1210" i="1"/>
  <c r="C1208" i="1"/>
  <c r="C1206" i="1"/>
  <c r="C1204" i="1"/>
  <c r="C1202" i="1"/>
  <c r="C1200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C1026" i="1"/>
  <c r="C1024" i="1"/>
  <c r="C1022" i="1"/>
  <c r="C1020" i="1"/>
  <c r="C1018" i="1"/>
  <c r="C1016" i="1"/>
  <c r="C1014" i="1"/>
  <c r="C1012" i="1"/>
  <c r="C1010" i="1"/>
  <c r="C1008" i="1"/>
  <c r="C1006" i="1"/>
  <c r="C1004" i="1"/>
  <c r="C1002" i="1"/>
  <c r="C1000" i="1"/>
  <c r="C998" i="1"/>
  <c r="C996" i="1"/>
  <c r="C994" i="1"/>
  <c r="C992" i="1"/>
  <c r="C990" i="1"/>
  <c r="C988" i="1"/>
  <c r="C986" i="1"/>
  <c r="C984" i="1"/>
  <c r="C982" i="1"/>
  <c r="C980" i="1"/>
  <c r="C978" i="1"/>
  <c r="C976" i="1"/>
  <c r="C1500" i="1"/>
  <c r="C1493" i="1"/>
  <c r="D1489" i="1"/>
  <c r="C1487" i="1"/>
  <c r="C1484" i="1"/>
  <c r="D1481" i="1"/>
  <c r="C1479" i="1"/>
  <c r="C1476" i="1"/>
  <c r="D1473" i="1"/>
  <c r="C1471" i="1"/>
  <c r="C1468" i="1"/>
  <c r="D1465" i="1"/>
  <c r="C1463" i="1"/>
  <c r="C1460" i="1"/>
  <c r="D1457" i="1"/>
  <c r="C1455" i="1"/>
  <c r="C1452" i="1"/>
  <c r="D1449" i="1"/>
  <c r="C1447" i="1"/>
  <c r="C1444" i="1"/>
  <c r="D1441" i="1"/>
  <c r="C1439" i="1"/>
  <c r="C1436" i="1"/>
  <c r="D1433" i="1"/>
  <c r="C1431" i="1"/>
  <c r="C1428" i="1"/>
  <c r="D1425" i="1"/>
  <c r="C1423" i="1"/>
  <c r="C1420" i="1"/>
  <c r="D1417" i="1"/>
  <c r="C1415" i="1"/>
  <c r="C1412" i="1"/>
  <c r="D1409" i="1"/>
  <c r="C1407" i="1"/>
  <c r="C1404" i="1"/>
  <c r="D1401" i="1"/>
  <c r="D1399" i="1"/>
  <c r="D1397" i="1"/>
  <c r="D1395" i="1"/>
  <c r="D1393" i="1"/>
  <c r="D1391" i="1"/>
  <c r="D1389" i="1"/>
  <c r="D1387" i="1"/>
  <c r="D1385" i="1"/>
  <c r="D1383" i="1"/>
  <c r="D1381" i="1"/>
  <c r="D1379" i="1"/>
  <c r="D1377" i="1"/>
  <c r="D1375" i="1"/>
  <c r="D1373" i="1"/>
  <c r="D1371" i="1"/>
  <c r="D1369" i="1"/>
  <c r="D1367" i="1"/>
  <c r="D1365" i="1"/>
  <c r="D1363" i="1"/>
  <c r="D1361" i="1"/>
  <c r="D1359" i="1"/>
  <c r="D1357" i="1"/>
  <c r="D1355" i="1"/>
  <c r="D1353" i="1"/>
  <c r="D1351" i="1"/>
  <c r="D1349" i="1"/>
  <c r="D1347" i="1"/>
  <c r="D1345" i="1"/>
  <c r="D1343" i="1"/>
  <c r="D1341" i="1"/>
  <c r="D1339" i="1"/>
  <c r="D1337" i="1"/>
  <c r="D1335" i="1"/>
  <c r="D1333" i="1"/>
  <c r="D1331" i="1"/>
  <c r="D1329" i="1"/>
  <c r="D1327" i="1"/>
  <c r="D1325" i="1"/>
  <c r="D1323" i="1"/>
  <c r="D1321" i="1"/>
  <c r="D1319" i="1"/>
  <c r="D1317" i="1"/>
  <c r="D1315" i="1"/>
  <c r="D1313" i="1"/>
  <c r="D1311" i="1"/>
  <c r="D1309" i="1"/>
  <c r="D1307" i="1"/>
  <c r="D1305" i="1"/>
  <c r="D1303" i="1"/>
  <c r="D1301" i="1"/>
  <c r="D1299" i="1"/>
  <c r="D1297" i="1"/>
  <c r="D1295" i="1"/>
  <c r="D1293" i="1"/>
  <c r="D1291" i="1"/>
  <c r="D1289" i="1"/>
  <c r="D1287" i="1"/>
  <c r="D1285" i="1"/>
  <c r="D1283" i="1"/>
  <c r="D1281" i="1"/>
  <c r="D1279" i="1"/>
  <c r="D1277" i="1"/>
  <c r="D1275" i="1"/>
  <c r="D1273" i="1"/>
  <c r="D1271" i="1"/>
  <c r="D1269" i="1"/>
  <c r="D1267" i="1"/>
  <c r="D1265" i="1"/>
  <c r="D1263" i="1"/>
  <c r="D1261" i="1"/>
  <c r="D1259" i="1"/>
  <c r="D1257" i="1"/>
  <c r="D1255" i="1"/>
  <c r="D1253" i="1"/>
  <c r="D1251" i="1"/>
  <c r="D1249" i="1"/>
  <c r="D1247" i="1"/>
  <c r="D1245" i="1"/>
  <c r="D1243" i="1"/>
  <c r="D1241" i="1"/>
  <c r="D1239" i="1"/>
  <c r="D1237" i="1"/>
  <c r="D1235" i="1"/>
  <c r="D1233" i="1"/>
  <c r="D1231" i="1"/>
  <c r="D1229" i="1"/>
  <c r="D1227" i="1"/>
  <c r="D1225" i="1"/>
  <c r="D1223" i="1"/>
  <c r="D1221" i="1"/>
  <c r="D1219" i="1"/>
  <c r="D1217" i="1"/>
  <c r="D1215" i="1"/>
  <c r="D1213" i="1"/>
  <c r="D1211" i="1"/>
  <c r="D1209" i="1"/>
  <c r="D1207" i="1"/>
  <c r="D1205" i="1"/>
  <c r="D1203" i="1"/>
  <c r="D1201" i="1"/>
  <c r="D1199" i="1"/>
  <c r="D1197" i="1"/>
  <c r="D1195" i="1"/>
  <c r="D1193" i="1"/>
  <c r="D1191" i="1"/>
  <c r="D1189" i="1"/>
  <c r="D1187" i="1"/>
  <c r="D1185" i="1"/>
  <c r="D1183" i="1"/>
  <c r="D1181" i="1"/>
  <c r="D1179" i="1"/>
  <c r="D1177" i="1"/>
  <c r="D1175" i="1"/>
  <c r="D1173" i="1"/>
  <c r="D1171" i="1"/>
  <c r="D1169" i="1"/>
  <c r="D1167" i="1"/>
  <c r="D1165" i="1"/>
  <c r="D1163" i="1"/>
  <c r="D1161" i="1"/>
  <c r="D1159" i="1"/>
  <c r="D1157" i="1"/>
  <c r="D1155" i="1"/>
  <c r="D1153" i="1"/>
  <c r="D1151" i="1"/>
  <c r="D1149" i="1"/>
  <c r="D1147" i="1"/>
  <c r="D1145" i="1"/>
  <c r="D1143" i="1"/>
  <c r="D1141" i="1"/>
  <c r="D1139" i="1"/>
  <c r="D1137" i="1"/>
  <c r="D1135" i="1"/>
  <c r="D1133" i="1"/>
  <c r="D1131" i="1"/>
  <c r="D1129" i="1"/>
  <c r="D1127" i="1"/>
  <c r="D1125" i="1"/>
  <c r="D1123" i="1"/>
  <c r="D1121" i="1"/>
  <c r="D1119" i="1"/>
  <c r="D1117" i="1"/>
  <c r="D1115" i="1"/>
  <c r="D1113" i="1"/>
  <c r="D1111" i="1"/>
  <c r="D1109" i="1"/>
  <c r="D1107" i="1"/>
  <c r="D1105" i="1"/>
  <c r="D1103" i="1"/>
  <c r="D1101" i="1"/>
  <c r="D1099" i="1"/>
  <c r="D1097" i="1"/>
  <c r="D1095" i="1"/>
  <c r="D1093" i="1"/>
  <c r="D1091" i="1"/>
  <c r="D1089" i="1"/>
  <c r="D1087" i="1"/>
  <c r="D1085" i="1"/>
  <c r="D1083" i="1"/>
  <c r="D1081" i="1"/>
  <c r="D1079" i="1"/>
  <c r="D1077" i="1"/>
  <c r="D1075" i="1"/>
  <c r="D1073" i="1"/>
  <c r="D1071" i="1"/>
  <c r="D1069" i="1"/>
  <c r="D1067" i="1"/>
  <c r="D1065" i="1"/>
  <c r="D1063" i="1"/>
  <c r="D1061" i="1"/>
  <c r="D1059" i="1"/>
  <c r="D1057" i="1"/>
  <c r="D1055" i="1"/>
  <c r="D1053" i="1"/>
  <c r="D1051" i="1"/>
  <c r="D1049" i="1"/>
  <c r="D1047" i="1"/>
  <c r="D1045" i="1"/>
  <c r="D1043" i="1"/>
  <c r="D1041" i="1"/>
  <c r="D1039" i="1"/>
  <c r="D1037" i="1"/>
  <c r="D1035" i="1"/>
  <c r="D1033" i="1"/>
  <c r="D1031" i="1"/>
  <c r="D1029" i="1"/>
  <c r="D1027" i="1"/>
  <c r="D1025" i="1"/>
  <c r="D1023" i="1"/>
  <c r="D1021" i="1"/>
  <c r="D1019" i="1"/>
  <c r="D1017" i="1"/>
  <c r="D1015" i="1"/>
  <c r="D1013" i="1"/>
  <c r="D1011" i="1"/>
  <c r="D1009" i="1"/>
  <c r="D1007" i="1"/>
  <c r="D1005" i="1"/>
  <c r="D1003" i="1"/>
  <c r="D1001" i="1"/>
  <c r="D999" i="1"/>
  <c r="D997" i="1"/>
  <c r="D995" i="1"/>
  <c r="D993" i="1"/>
  <c r="D991" i="1"/>
  <c r="D989" i="1"/>
  <c r="D987" i="1"/>
  <c r="D985" i="1"/>
  <c r="D983" i="1"/>
  <c r="D981" i="1"/>
  <c r="D979" i="1"/>
  <c r="D977" i="1"/>
  <c r="D975" i="1"/>
  <c r="D973" i="1"/>
  <c r="D971" i="1"/>
  <c r="D969" i="1"/>
  <c r="D967" i="1"/>
  <c r="D965" i="1"/>
  <c r="D963" i="1"/>
  <c r="C1498" i="1"/>
  <c r="C1492" i="1"/>
  <c r="C1489" i="1"/>
  <c r="C1486" i="1"/>
  <c r="D1483" i="1"/>
  <c r="C1481" i="1"/>
  <c r="C1478" i="1"/>
  <c r="D1475" i="1"/>
  <c r="C1473" i="1"/>
  <c r="C1470" i="1"/>
  <c r="D1467" i="1"/>
  <c r="C1465" i="1"/>
  <c r="C1462" i="1"/>
  <c r="D1459" i="1"/>
  <c r="C1457" i="1"/>
  <c r="C1454" i="1"/>
  <c r="D1451" i="1"/>
  <c r="C1449" i="1"/>
  <c r="C1446" i="1"/>
  <c r="D1443" i="1"/>
  <c r="C1441" i="1"/>
  <c r="C1438" i="1"/>
  <c r="D1435" i="1"/>
  <c r="C1433" i="1"/>
  <c r="C1430" i="1"/>
  <c r="D1427" i="1"/>
  <c r="C1425" i="1"/>
  <c r="C1422" i="1"/>
  <c r="D1419" i="1"/>
  <c r="C1417" i="1"/>
  <c r="C1414" i="1"/>
  <c r="D1411" i="1"/>
  <c r="C1409" i="1"/>
  <c r="C1406" i="1"/>
  <c r="D1403" i="1"/>
  <c r="C1401" i="1"/>
  <c r="C1399" i="1"/>
  <c r="C1397" i="1"/>
  <c r="C1395" i="1"/>
  <c r="C1393" i="1"/>
  <c r="C1391" i="1"/>
  <c r="C1389" i="1"/>
  <c r="C1387" i="1"/>
  <c r="C1385" i="1"/>
  <c r="C1383" i="1"/>
  <c r="C1381" i="1"/>
  <c r="C1379" i="1"/>
  <c r="C1377" i="1"/>
  <c r="C1375" i="1"/>
  <c r="C1373" i="1"/>
  <c r="C1371" i="1"/>
  <c r="C1369" i="1"/>
  <c r="C1367" i="1"/>
  <c r="C1365" i="1"/>
  <c r="C1363" i="1"/>
  <c r="C1361" i="1"/>
  <c r="C1359" i="1"/>
  <c r="C1357" i="1"/>
  <c r="C1355" i="1"/>
  <c r="C1353" i="1"/>
  <c r="C1351" i="1"/>
  <c r="C1349" i="1"/>
  <c r="C1347" i="1"/>
  <c r="C1345" i="1"/>
  <c r="C1343" i="1"/>
  <c r="C1341" i="1"/>
  <c r="C1339" i="1"/>
  <c r="C1337" i="1"/>
  <c r="C1335" i="1"/>
  <c r="C1333" i="1"/>
  <c r="C1331" i="1"/>
  <c r="C1329" i="1"/>
  <c r="C1327" i="1"/>
  <c r="C1325" i="1"/>
  <c r="C1323" i="1"/>
  <c r="C1321" i="1"/>
  <c r="C1319" i="1"/>
  <c r="C1317" i="1"/>
  <c r="C1315" i="1"/>
  <c r="C1313" i="1"/>
  <c r="C1311" i="1"/>
  <c r="C1309" i="1"/>
  <c r="C1307" i="1"/>
  <c r="C1305" i="1"/>
  <c r="C1303" i="1"/>
  <c r="C1301" i="1"/>
  <c r="C1299" i="1"/>
  <c r="C1297" i="1"/>
  <c r="C1295" i="1"/>
  <c r="C1293" i="1"/>
  <c r="C1291" i="1"/>
  <c r="C1289" i="1"/>
  <c r="C1287" i="1"/>
  <c r="C1285" i="1"/>
  <c r="C1283" i="1"/>
  <c r="C1281" i="1"/>
  <c r="C1279" i="1"/>
  <c r="C1277" i="1"/>
  <c r="C1275" i="1"/>
  <c r="C1273" i="1"/>
  <c r="C1271" i="1"/>
  <c r="C1269" i="1"/>
  <c r="C1267" i="1"/>
  <c r="C1265" i="1"/>
  <c r="C1263" i="1"/>
  <c r="C1261" i="1"/>
  <c r="C1259" i="1"/>
  <c r="C1257" i="1"/>
  <c r="C1255" i="1"/>
  <c r="C1253" i="1"/>
  <c r="C1251" i="1"/>
  <c r="C1249" i="1"/>
  <c r="C1247" i="1"/>
  <c r="C1245" i="1"/>
  <c r="C1243" i="1"/>
  <c r="C1241" i="1"/>
  <c r="C1239" i="1"/>
  <c r="C1237" i="1"/>
  <c r="C1235" i="1"/>
  <c r="C1233" i="1"/>
  <c r="C1231" i="1"/>
  <c r="C1229" i="1"/>
  <c r="C1227" i="1"/>
  <c r="C1225" i="1"/>
  <c r="C1223" i="1"/>
  <c r="C1221" i="1"/>
  <c r="C1219" i="1"/>
  <c r="C1217" i="1"/>
  <c r="C1215" i="1"/>
  <c r="C1213" i="1"/>
  <c r="C1211" i="1"/>
  <c r="C1209" i="1"/>
  <c r="C1207" i="1"/>
  <c r="C1205" i="1"/>
  <c r="C1203" i="1"/>
  <c r="C1201" i="1"/>
  <c r="C1199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025" i="1"/>
  <c r="C1023" i="1"/>
  <c r="C1021" i="1"/>
  <c r="C1019" i="1"/>
  <c r="C1017" i="1"/>
  <c r="C1015" i="1"/>
  <c r="C1013" i="1"/>
  <c r="C1011" i="1"/>
  <c r="C1009" i="1"/>
  <c r="C1007" i="1"/>
  <c r="C1005" i="1"/>
  <c r="C1003" i="1"/>
  <c r="C1001" i="1"/>
  <c r="C999" i="1"/>
  <c r="C997" i="1"/>
  <c r="C995" i="1"/>
  <c r="C993" i="1"/>
  <c r="C991" i="1"/>
  <c r="C989" i="1"/>
  <c r="C987" i="1"/>
  <c r="C985" i="1"/>
  <c r="C983" i="1"/>
  <c r="C981" i="1"/>
  <c r="C979" i="1"/>
  <c r="C977" i="1"/>
  <c r="C975" i="1"/>
  <c r="C973" i="1"/>
  <c r="C971" i="1"/>
  <c r="C969" i="1"/>
  <c r="C967" i="1"/>
  <c r="C965" i="1"/>
  <c r="C963" i="1"/>
  <c r="C961" i="1"/>
  <c r="C959" i="1"/>
  <c r="C957" i="1"/>
  <c r="C955" i="1"/>
  <c r="C953" i="1"/>
  <c r="C951" i="1"/>
  <c r="C949" i="1"/>
  <c r="C947" i="1"/>
  <c r="C945" i="1"/>
  <c r="C943" i="1"/>
  <c r="C941" i="1"/>
  <c r="C939" i="1"/>
  <c r="C937" i="1"/>
  <c r="C935" i="1"/>
  <c r="C933" i="1"/>
  <c r="C931" i="1"/>
  <c r="C929" i="1"/>
  <c r="C927" i="1"/>
  <c r="C925" i="1"/>
  <c r="C923" i="1"/>
  <c r="C921" i="1"/>
  <c r="C919" i="1"/>
  <c r="C917" i="1"/>
  <c r="C915" i="1"/>
  <c r="C913" i="1"/>
  <c r="C911" i="1"/>
  <c r="C909" i="1"/>
  <c r="C1496" i="1"/>
  <c r="C1491" i="1"/>
  <c r="C1488" i="1"/>
  <c r="D1485" i="1"/>
  <c r="C1483" i="1"/>
  <c r="C1480" i="1"/>
  <c r="D1477" i="1"/>
  <c r="C1475" i="1"/>
  <c r="C1472" i="1"/>
  <c r="D1469" i="1"/>
  <c r="C1467" i="1"/>
  <c r="C1464" i="1"/>
  <c r="D1461" i="1"/>
  <c r="C1459" i="1"/>
  <c r="C1456" i="1"/>
  <c r="D1453" i="1"/>
  <c r="C1451" i="1"/>
  <c r="C1448" i="1"/>
  <c r="D1445" i="1"/>
  <c r="C1443" i="1"/>
  <c r="C1440" i="1"/>
  <c r="D1437" i="1"/>
  <c r="C1435" i="1"/>
  <c r="C1432" i="1"/>
  <c r="D1429" i="1"/>
  <c r="C1427" i="1"/>
  <c r="C1424" i="1"/>
  <c r="D1421" i="1"/>
  <c r="C1419" i="1"/>
  <c r="C1416" i="1"/>
  <c r="D1413" i="1"/>
  <c r="C1411" i="1"/>
  <c r="C1408" i="1"/>
  <c r="D1405" i="1"/>
  <c r="C1403" i="1"/>
  <c r="D1400" i="1"/>
  <c r="D1398" i="1"/>
  <c r="D1396" i="1"/>
  <c r="D1394" i="1"/>
  <c r="D1392" i="1"/>
  <c r="D1390" i="1"/>
  <c r="D1388" i="1"/>
  <c r="D1386" i="1"/>
  <c r="D1384" i="1"/>
  <c r="D1382" i="1"/>
  <c r="D1380" i="1"/>
  <c r="D1378" i="1"/>
  <c r="D1376" i="1"/>
  <c r="D1374" i="1"/>
  <c r="D1372" i="1"/>
  <c r="D1370" i="1"/>
  <c r="D1368" i="1"/>
  <c r="D1366" i="1"/>
  <c r="D1364" i="1"/>
  <c r="D1362" i="1"/>
  <c r="D1360" i="1"/>
  <c r="D1358" i="1"/>
  <c r="D1356" i="1"/>
  <c r="D1354" i="1"/>
  <c r="D1352" i="1"/>
  <c r="D1350" i="1"/>
  <c r="D1348" i="1"/>
  <c r="D1346" i="1"/>
  <c r="D1344" i="1"/>
  <c r="D1342" i="1"/>
  <c r="D1340" i="1"/>
  <c r="D1338" i="1"/>
  <c r="D1336" i="1"/>
  <c r="D1334" i="1"/>
  <c r="D1332" i="1"/>
  <c r="D1330" i="1"/>
  <c r="D1328" i="1"/>
  <c r="D1326" i="1"/>
  <c r="D1324" i="1"/>
  <c r="D1322" i="1"/>
  <c r="D1320" i="1"/>
  <c r="D1318" i="1"/>
  <c r="D1316" i="1"/>
  <c r="D1314" i="1"/>
  <c r="D1312" i="1"/>
  <c r="D1310" i="1"/>
  <c r="D1308" i="1"/>
  <c r="D1306" i="1"/>
  <c r="D1304" i="1"/>
  <c r="D1302" i="1"/>
  <c r="D1300" i="1"/>
  <c r="D1298" i="1"/>
  <c r="D1296" i="1"/>
  <c r="D1294" i="1"/>
  <c r="D1292" i="1"/>
  <c r="D1290" i="1"/>
  <c r="D1288" i="1"/>
  <c r="D1286" i="1"/>
  <c r="D1284" i="1"/>
  <c r="D1282" i="1"/>
  <c r="D1280" i="1"/>
  <c r="D1278" i="1"/>
  <c r="D1276" i="1"/>
  <c r="D1274" i="1"/>
  <c r="D1272" i="1"/>
  <c r="D1270" i="1"/>
  <c r="D1268" i="1"/>
  <c r="D1266" i="1"/>
  <c r="D1264" i="1"/>
  <c r="D1262" i="1"/>
  <c r="D1260" i="1"/>
  <c r="D1258" i="1"/>
  <c r="D1256" i="1"/>
  <c r="D1254" i="1"/>
  <c r="D1252" i="1"/>
  <c r="D1250" i="1"/>
  <c r="D1248" i="1"/>
  <c r="D1246" i="1"/>
  <c r="D1244" i="1"/>
  <c r="D1242" i="1"/>
  <c r="D1240" i="1"/>
  <c r="D1238" i="1"/>
  <c r="D1236" i="1"/>
  <c r="D1234" i="1"/>
  <c r="D1232" i="1"/>
  <c r="D1230" i="1"/>
  <c r="D1228" i="1"/>
  <c r="D1226" i="1"/>
  <c r="D1224" i="1"/>
  <c r="D1222" i="1"/>
  <c r="D1220" i="1"/>
  <c r="D1218" i="1"/>
  <c r="D1216" i="1"/>
  <c r="D1214" i="1"/>
  <c r="D1212" i="1"/>
  <c r="D1210" i="1"/>
  <c r="D1208" i="1"/>
  <c r="D1206" i="1"/>
  <c r="D1204" i="1"/>
  <c r="D1202" i="1"/>
  <c r="D1200" i="1"/>
  <c r="D1198" i="1"/>
  <c r="D1196" i="1"/>
  <c r="D1194" i="1"/>
  <c r="D1192" i="1"/>
  <c r="D1190" i="1"/>
  <c r="D1188" i="1"/>
  <c r="D1186" i="1"/>
  <c r="D1184" i="1"/>
  <c r="D1182" i="1"/>
  <c r="D1180" i="1"/>
  <c r="D1178" i="1"/>
  <c r="D1176" i="1"/>
  <c r="D1174" i="1"/>
  <c r="D1172" i="1"/>
  <c r="D1170" i="1"/>
  <c r="D1168" i="1"/>
  <c r="D1166" i="1"/>
  <c r="D1164" i="1"/>
  <c r="D1162" i="1"/>
  <c r="D1160" i="1"/>
  <c r="D1158" i="1"/>
  <c r="D1156" i="1"/>
  <c r="D1154" i="1"/>
  <c r="D1152" i="1"/>
  <c r="D1150" i="1"/>
  <c r="D1148" i="1"/>
  <c r="D1146" i="1"/>
  <c r="D1144" i="1"/>
  <c r="D1142" i="1"/>
  <c r="D1140" i="1"/>
  <c r="D1138" i="1"/>
  <c r="D1136" i="1"/>
  <c r="D1134" i="1"/>
  <c r="D1132" i="1"/>
  <c r="D1130" i="1"/>
  <c r="D1128" i="1"/>
  <c r="D1126" i="1"/>
  <c r="D1124" i="1"/>
  <c r="D1122" i="1"/>
  <c r="D1120" i="1"/>
  <c r="D1118" i="1"/>
  <c r="D1116" i="1"/>
  <c r="D1114" i="1"/>
  <c r="D1112" i="1"/>
  <c r="D1110" i="1"/>
  <c r="D1108" i="1"/>
  <c r="D1106" i="1"/>
  <c r="D1104" i="1"/>
  <c r="D1102" i="1"/>
  <c r="D1100" i="1"/>
  <c r="D1098" i="1"/>
  <c r="D1096" i="1"/>
  <c r="D1094" i="1"/>
  <c r="D1092" i="1"/>
  <c r="D1090" i="1"/>
  <c r="D1088" i="1"/>
  <c r="D1086" i="1"/>
  <c r="D1084" i="1"/>
  <c r="D1082" i="1"/>
  <c r="D1080" i="1"/>
  <c r="D1078" i="1"/>
  <c r="D1076" i="1"/>
  <c r="D1074" i="1"/>
  <c r="D1072" i="1"/>
  <c r="D1070" i="1"/>
  <c r="D1068" i="1"/>
  <c r="D1066" i="1"/>
  <c r="D1064" i="1"/>
  <c r="D1062" i="1"/>
  <c r="D1060" i="1"/>
  <c r="D1058" i="1"/>
  <c r="D1056" i="1"/>
  <c r="D1054" i="1"/>
  <c r="D1052" i="1"/>
  <c r="D1050" i="1"/>
  <c r="D1048" i="1"/>
  <c r="D1046" i="1"/>
  <c r="D1044" i="1"/>
  <c r="D1042" i="1"/>
  <c r="D1040" i="1"/>
  <c r="D1038" i="1"/>
  <c r="D1036" i="1"/>
  <c r="D1034" i="1"/>
  <c r="D1032" i="1"/>
  <c r="D1030" i="1"/>
  <c r="D1028" i="1"/>
  <c r="D1026" i="1"/>
  <c r="D1024" i="1"/>
  <c r="D1022" i="1"/>
  <c r="D1020" i="1"/>
  <c r="D1018" i="1"/>
  <c r="D1016" i="1"/>
  <c r="D1014" i="1"/>
  <c r="D1012" i="1"/>
  <c r="D1010" i="1"/>
  <c r="D1008" i="1"/>
  <c r="D1006" i="1"/>
  <c r="D1004" i="1"/>
  <c r="D1002" i="1"/>
  <c r="D1000" i="1"/>
  <c r="D998" i="1"/>
  <c r="D996" i="1"/>
  <c r="D994" i="1"/>
  <c r="D992" i="1"/>
  <c r="D990" i="1"/>
  <c r="D988" i="1"/>
  <c r="D986" i="1"/>
  <c r="D984" i="1"/>
  <c r="D982" i="1"/>
  <c r="D980" i="1"/>
  <c r="D978" i="1"/>
  <c r="D976" i="1"/>
  <c r="D974" i="1"/>
  <c r="D972" i="1"/>
  <c r="D970" i="1"/>
  <c r="D968" i="1"/>
  <c r="D966" i="1"/>
  <c r="D964" i="1"/>
  <c r="D962" i="1"/>
  <c r="D960" i="1"/>
  <c r="D958" i="1"/>
  <c r="D956" i="1"/>
  <c r="D954" i="1"/>
  <c r="D952" i="1"/>
  <c r="D950" i="1"/>
  <c r="D948" i="1"/>
  <c r="D946" i="1"/>
  <c r="D944" i="1"/>
  <c r="D942" i="1"/>
  <c r="D940" i="1"/>
  <c r="D938" i="1"/>
  <c r="D936" i="1"/>
  <c r="D934" i="1"/>
  <c r="D932" i="1"/>
  <c r="D930" i="1"/>
  <c r="D928" i="1"/>
  <c r="D926" i="1"/>
  <c r="D924" i="1"/>
  <c r="D922" i="1"/>
  <c r="D920" i="1"/>
  <c r="D918" i="1"/>
  <c r="D916" i="1"/>
  <c r="D914" i="1"/>
  <c r="D912" i="1"/>
  <c r="D910" i="1"/>
  <c r="D908" i="1"/>
  <c r="D906" i="1"/>
  <c r="D904" i="1"/>
  <c r="D902" i="1"/>
  <c r="D900" i="1"/>
  <c r="D898" i="1"/>
  <c r="D896" i="1"/>
  <c r="D894" i="1"/>
  <c r="D892" i="1"/>
  <c r="D890" i="1"/>
  <c r="D888" i="1"/>
  <c r="D886" i="1"/>
  <c r="D884" i="1"/>
  <c r="D882" i="1"/>
  <c r="D880" i="1"/>
  <c r="D878" i="1"/>
  <c r="C974" i="1"/>
  <c r="C966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12" i="1"/>
  <c r="C908" i="1"/>
  <c r="D905" i="1"/>
  <c r="C903" i="1"/>
  <c r="C900" i="1"/>
  <c r="D897" i="1"/>
  <c r="C895" i="1"/>
  <c r="C892" i="1"/>
  <c r="D889" i="1"/>
  <c r="C887" i="1"/>
  <c r="C884" i="1"/>
  <c r="D881" i="1"/>
  <c r="C879" i="1"/>
  <c r="D876" i="1"/>
  <c r="D874" i="1"/>
  <c r="D872" i="1"/>
  <c r="D870" i="1"/>
  <c r="D868" i="1"/>
  <c r="D866" i="1"/>
  <c r="D864" i="1"/>
  <c r="D862" i="1"/>
  <c r="D860" i="1"/>
  <c r="D858" i="1"/>
  <c r="D856" i="1"/>
  <c r="D854" i="1"/>
  <c r="D852" i="1"/>
  <c r="D850" i="1"/>
  <c r="D848" i="1"/>
  <c r="D846" i="1"/>
  <c r="D844" i="1"/>
  <c r="D842" i="1"/>
  <c r="D840" i="1"/>
  <c r="D838" i="1"/>
  <c r="D836" i="1"/>
  <c r="D834" i="1"/>
  <c r="D832" i="1"/>
  <c r="D830" i="1"/>
  <c r="D828" i="1"/>
  <c r="D826" i="1"/>
  <c r="D824" i="1"/>
  <c r="D822" i="1"/>
  <c r="D820" i="1"/>
  <c r="D818" i="1"/>
  <c r="D816" i="1"/>
  <c r="D814" i="1"/>
  <c r="D812" i="1"/>
  <c r="D810" i="1"/>
  <c r="D808" i="1"/>
  <c r="D806" i="1"/>
  <c r="D804" i="1"/>
  <c r="D802" i="1"/>
  <c r="D800" i="1"/>
  <c r="D798" i="1"/>
  <c r="D796" i="1"/>
  <c r="D794" i="1"/>
  <c r="D792" i="1"/>
  <c r="D790" i="1"/>
  <c r="D788" i="1"/>
  <c r="D786" i="1"/>
  <c r="D784" i="1"/>
  <c r="D782" i="1"/>
  <c r="D780" i="1"/>
  <c r="D778" i="1"/>
  <c r="D776" i="1"/>
  <c r="D774" i="1"/>
  <c r="D772" i="1"/>
  <c r="D770" i="1"/>
  <c r="D768" i="1"/>
  <c r="D766" i="1"/>
  <c r="D764" i="1"/>
  <c r="D762" i="1"/>
  <c r="D760" i="1"/>
  <c r="D758" i="1"/>
  <c r="D756" i="1"/>
  <c r="D754" i="1"/>
  <c r="D752" i="1"/>
  <c r="D750" i="1"/>
  <c r="D748" i="1"/>
  <c r="D746" i="1"/>
  <c r="D744" i="1"/>
  <c r="D742" i="1"/>
  <c r="D740" i="1"/>
  <c r="D738" i="1"/>
  <c r="D736" i="1"/>
  <c r="D734" i="1"/>
  <c r="D732" i="1"/>
  <c r="D730" i="1"/>
  <c r="D728" i="1"/>
  <c r="D726" i="1"/>
  <c r="D724" i="1"/>
  <c r="D722" i="1"/>
  <c r="D720" i="1"/>
  <c r="D718" i="1"/>
  <c r="D716" i="1"/>
  <c r="D714" i="1"/>
  <c r="D712" i="1"/>
  <c r="D710" i="1"/>
  <c r="D708" i="1"/>
  <c r="D706" i="1"/>
  <c r="D704" i="1"/>
  <c r="D702" i="1"/>
  <c r="D700" i="1"/>
  <c r="D698" i="1"/>
  <c r="D696" i="1"/>
  <c r="D694" i="1"/>
  <c r="D692" i="1"/>
  <c r="D690" i="1"/>
  <c r="D688" i="1"/>
  <c r="D686" i="1"/>
  <c r="D684" i="1"/>
  <c r="D682" i="1"/>
  <c r="D680" i="1"/>
  <c r="D678" i="1"/>
  <c r="D676" i="1"/>
  <c r="D674" i="1"/>
  <c r="D672" i="1"/>
  <c r="D670" i="1"/>
  <c r="D668" i="1"/>
  <c r="D666" i="1"/>
  <c r="D664" i="1"/>
  <c r="D662" i="1"/>
  <c r="D660" i="1"/>
  <c r="D658" i="1"/>
  <c r="D656" i="1"/>
  <c r="D654" i="1"/>
  <c r="D652" i="1"/>
  <c r="D650" i="1"/>
  <c r="D648" i="1"/>
  <c r="D646" i="1"/>
  <c r="D644" i="1"/>
  <c r="D642" i="1"/>
  <c r="D640" i="1"/>
  <c r="D638" i="1"/>
  <c r="D636" i="1"/>
  <c r="D634" i="1"/>
  <c r="D632" i="1"/>
  <c r="D630" i="1"/>
  <c r="D628" i="1"/>
  <c r="D626" i="1"/>
  <c r="D624" i="1"/>
  <c r="D622" i="1"/>
  <c r="D620" i="1"/>
  <c r="D618" i="1"/>
  <c r="D616" i="1"/>
  <c r="D614" i="1"/>
  <c r="D612" i="1"/>
  <c r="D610" i="1"/>
  <c r="D608" i="1"/>
  <c r="D606" i="1"/>
  <c r="D604" i="1"/>
  <c r="D602" i="1"/>
  <c r="D600" i="1"/>
  <c r="D598" i="1"/>
  <c r="D596" i="1"/>
  <c r="D594" i="1"/>
  <c r="D592" i="1"/>
  <c r="D590" i="1"/>
  <c r="D588" i="1"/>
  <c r="D586" i="1"/>
  <c r="D584" i="1"/>
  <c r="D582" i="1"/>
  <c r="D580" i="1"/>
  <c r="D578" i="1"/>
  <c r="D576" i="1"/>
  <c r="D574" i="1"/>
  <c r="D572" i="1"/>
  <c r="D570" i="1"/>
  <c r="D568" i="1"/>
  <c r="D566" i="1"/>
  <c r="D564" i="1"/>
  <c r="D562" i="1"/>
  <c r="D560" i="1"/>
  <c r="D558" i="1"/>
  <c r="D556" i="1"/>
  <c r="D554" i="1"/>
  <c r="D552" i="1"/>
  <c r="D550" i="1"/>
  <c r="D548" i="1"/>
  <c r="D546" i="1"/>
  <c r="D544" i="1"/>
  <c r="D542" i="1"/>
  <c r="D540" i="1"/>
  <c r="D538" i="1"/>
  <c r="D536" i="1"/>
  <c r="D534" i="1"/>
  <c r="D532" i="1"/>
  <c r="D530" i="1"/>
  <c r="D528" i="1"/>
  <c r="D526" i="1"/>
  <c r="D524" i="1"/>
  <c r="D522" i="1"/>
  <c r="D520" i="1"/>
  <c r="D518" i="1"/>
  <c r="D516" i="1"/>
  <c r="D514" i="1"/>
  <c r="D512" i="1"/>
  <c r="D510" i="1"/>
  <c r="D508" i="1"/>
  <c r="D506" i="1"/>
  <c r="D504" i="1"/>
  <c r="D502" i="1"/>
  <c r="D500" i="1"/>
  <c r="D498" i="1"/>
  <c r="D496" i="1"/>
  <c r="D494" i="1"/>
  <c r="D492" i="1"/>
  <c r="D490" i="1"/>
  <c r="D488" i="1"/>
  <c r="D486" i="1"/>
  <c r="D484" i="1"/>
  <c r="D482" i="1"/>
  <c r="D480" i="1"/>
  <c r="D478" i="1"/>
  <c r="D476" i="1"/>
  <c r="D474" i="1"/>
  <c r="D472" i="1"/>
  <c r="D470" i="1"/>
  <c r="D468" i="1"/>
  <c r="D466" i="1"/>
  <c r="D464" i="1"/>
  <c r="D462" i="1"/>
  <c r="D460" i="1"/>
  <c r="D458" i="1"/>
  <c r="D456" i="1"/>
  <c r="D454" i="1"/>
  <c r="D452" i="1"/>
  <c r="D450" i="1"/>
  <c r="D448" i="1"/>
  <c r="D446" i="1"/>
  <c r="D444" i="1"/>
  <c r="D442" i="1"/>
  <c r="D440" i="1"/>
  <c r="D438" i="1"/>
  <c r="D436" i="1"/>
  <c r="D434" i="1"/>
  <c r="D432" i="1"/>
  <c r="D430" i="1"/>
  <c r="D428" i="1"/>
  <c r="D426" i="1"/>
  <c r="D424" i="1"/>
  <c r="D422" i="1"/>
  <c r="D420" i="1"/>
  <c r="D418" i="1"/>
  <c r="D416" i="1"/>
  <c r="D414" i="1"/>
  <c r="D412" i="1"/>
  <c r="D410" i="1"/>
  <c r="D408" i="1"/>
  <c r="D406" i="1"/>
  <c r="D404" i="1"/>
  <c r="D402" i="1"/>
  <c r="D400" i="1"/>
  <c r="D398" i="1"/>
  <c r="D396" i="1"/>
  <c r="D394" i="1"/>
  <c r="D392" i="1"/>
  <c r="D390" i="1"/>
  <c r="D388" i="1"/>
  <c r="D386" i="1"/>
  <c r="D384" i="1"/>
  <c r="D382" i="1"/>
  <c r="D380" i="1"/>
  <c r="D378" i="1"/>
  <c r="D376" i="1"/>
  <c r="D374" i="1"/>
  <c r="D372" i="1"/>
  <c r="D370" i="1"/>
  <c r="D368" i="1"/>
  <c r="D366" i="1"/>
  <c r="D364" i="1"/>
  <c r="D362" i="1"/>
  <c r="D360" i="1"/>
  <c r="D358" i="1"/>
  <c r="D356" i="1"/>
  <c r="D354" i="1"/>
  <c r="D352" i="1"/>
  <c r="D350" i="1"/>
  <c r="D348" i="1"/>
  <c r="D346" i="1"/>
  <c r="D344" i="1"/>
  <c r="D342" i="1"/>
  <c r="D340" i="1"/>
  <c r="D338" i="1"/>
  <c r="D336" i="1"/>
  <c r="D334" i="1"/>
  <c r="D332" i="1"/>
  <c r="D330" i="1"/>
  <c r="D328" i="1"/>
  <c r="D326" i="1"/>
  <c r="D324" i="1"/>
  <c r="D322" i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D294" i="1"/>
  <c r="D292" i="1"/>
  <c r="D290" i="1"/>
  <c r="D288" i="1"/>
  <c r="D286" i="1"/>
  <c r="D284" i="1"/>
  <c r="D282" i="1"/>
  <c r="D280" i="1"/>
  <c r="D278" i="1"/>
  <c r="D276" i="1"/>
  <c r="D274" i="1"/>
  <c r="D272" i="1"/>
  <c r="D270" i="1"/>
  <c r="D268" i="1"/>
  <c r="D266" i="1"/>
  <c r="D264" i="1"/>
  <c r="D262" i="1"/>
  <c r="D260" i="1"/>
  <c r="D258" i="1"/>
  <c r="D256" i="1"/>
  <c r="D254" i="1"/>
  <c r="D252" i="1"/>
  <c r="D250" i="1"/>
  <c r="D248" i="1"/>
  <c r="D246" i="1"/>
  <c r="D244" i="1"/>
  <c r="D242" i="1"/>
  <c r="D240" i="1"/>
  <c r="D238" i="1"/>
  <c r="D236" i="1"/>
  <c r="D234" i="1"/>
  <c r="D232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80" i="1"/>
  <c r="D178" i="1"/>
  <c r="D176" i="1"/>
  <c r="D174" i="1"/>
  <c r="D172" i="1"/>
  <c r="D170" i="1"/>
  <c r="D168" i="1"/>
  <c r="D166" i="1"/>
  <c r="D164" i="1"/>
  <c r="D162" i="1"/>
  <c r="D160" i="1"/>
  <c r="D158" i="1"/>
  <c r="D156" i="1"/>
  <c r="D154" i="1"/>
  <c r="D152" i="1"/>
  <c r="D150" i="1"/>
  <c r="D148" i="1"/>
  <c r="D146" i="1"/>
  <c r="D144" i="1"/>
  <c r="D142" i="1"/>
  <c r="D140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6" i="1"/>
  <c r="D94" i="1"/>
  <c r="D86" i="1"/>
  <c r="D78" i="1"/>
  <c r="D72" i="1"/>
  <c r="D64" i="1"/>
  <c r="D56" i="1"/>
  <c r="D48" i="1"/>
  <c r="D40" i="1"/>
  <c r="D32" i="1"/>
  <c r="D24" i="1"/>
  <c r="D18" i="1"/>
  <c r="D8" i="1"/>
  <c r="D2" i="1"/>
  <c r="C72" i="1"/>
  <c r="C60" i="1"/>
  <c r="C52" i="1"/>
  <c r="C44" i="1"/>
  <c r="C34" i="1"/>
  <c r="C26" i="1"/>
  <c r="C16" i="1"/>
  <c r="C6" i="1"/>
  <c r="C972" i="1"/>
  <c r="C964" i="1"/>
  <c r="D959" i="1"/>
  <c r="D955" i="1"/>
  <c r="D951" i="1"/>
  <c r="D947" i="1"/>
  <c r="D943" i="1"/>
  <c r="D939" i="1"/>
  <c r="D935" i="1"/>
  <c r="D931" i="1"/>
  <c r="D927" i="1"/>
  <c r="D923" i="1"/>
  <c r="D919" i="1"/>
  <c r="D915" i="1"/>
  <c r="D911" i="1"/>
  <c r="D907" i="1"/>
  <c r="C905" i="1"/>
  <c r="C902" i="1"/>
  <c r="D899" i="1"/>
  <c r="C897" i="1"/>
  <c r="C894" i="1"/>
  <c r="D891" i="1"/>
  <c r="C889" i="1"/>
  <c r="C886" i="1"/>
  <c r="D883" i="1"/>
  <c r="C881" i="1"/>
  <c r="C878" i="1"/>
  <c r="C876" i="1"/>
  <c r="C874" i="1"/>
  <c r="C872" i="1"/>
  <c r="C870" i="1"/>
  <c r="C868" i="1"/>
  <c r="C866" i="1"/>
  <c r="C864" i="1"/>
  <c r="C862" i="1"/>
  <c r="C860" i="1"/>
  <c r="C858" i="1"/>
  <c r="C856" i="1"/>
  <c r="C854" i="1"/>
  <c r="C852" i="1"/>
  <c r="C850" i="1"/>
  <c r="C848" i="1"/>
  <c r="C846" i="1"/>
  <c r="C844" i="1"/>
  <c r="C842" i="1"/>
  <c r="C840" i="1"/>
  <c r="C838" i="1"/>
  <c r="C836" i="1"/>
  <c r="C834" i="1"/>
  <c r="C832" i="1"/>
  <c r="C830" i="1"/>
  <c r="C828" i="1"/>
  <c r="C826" i="1"/>
  <c r="C824" i="1"/>
  <c r="C822" i="1"/>
  <c r="C820" i="1"/>
  <c r="C818" i="1"/>
  <c r="C816" i="1"/>
  <c r="C814" i="1"/>
  <c r="C812" i="1"/>
  <c r="C810" i="1"/>
  <c r="C808" i="1"/>
  <c r="C806" i="1"/>
  <c r="C804" i="1"/>
  <c r="C802" i="1"/>
  <c r="C800" i="1"/>
  <c r="C798" i="1"/>
  <c r="C796" i="1"/>
  <c r="C794" i="1"/>
  <c r="C792" i="1"/>
  <c r="C790" i="1"/>
  <c r="C788" i="1"/>
  <c r="C786" i="1"/>
  <c r="C784" i="1"/>
  <c r="C782" i="1"/>
  <c r="C780" i="1"/>
  <c r="C778" i="1"/>
  <c r="C776" i="1"/>
  <c r="C774" i="1"/>
  <c r="C772" i="1"/>
  <c r="C770" i="1"/>
  <c r="C768" i="1"/>
  <c r="C766" i="1"/>
  <c r="C764" i="1"/>
  <c r="C762" i="1"/>
  <c r="C760" i="1"/>
  <c r="C758" i="1"/>
  <c r="C756" i="1"/>
  <c r="C754" i="1"/>
  <c r="C752" i="1"/>
  <c r="C750" i="1"/>
  <c r="C748" i="1"/>
  <c r="C746" i="1"/>
  <c r="C744" i="1"/>
  <c r="C742" i="1"/>
  <c r="C740" i="1"/>
  <c r="C738" i="1"/>
  <c r="C736" i="1"/>
  <c r="C734" i="1"/>
  <c r="C732" i="1"/>
  <c r="C730" i="1"/>
  <c r="C728" i="1"/>
  <c r="C726" i="1"/>
  <c r="C724" i="1"/>
  <c r="C722" i="1"/>
  <c r="C720" i="1"/>
  <c r="C718" i="1"/>
  <c r="C716" i="1"/>
  <c r="C714" i="1"/>
  <c r="C712" i="1"/>
  <c r="C710" i="1"/>
  <c r="C708" i="1"/>
  <c r="C706" i="1"/>
  <c r="C704" i="1"/>
  <c r="C702" i="1"/>
  <c r="C700" i="1"/>
  <c r="C698" i="1"/>
  <c r="C696" i="1"/>
  <c r="C694" i="1"/>
  <c r="C692" i="1"/>
  <c r="C690" i="1"/>
  <c r="C688" i="1"/>
  <c r="C686" i="1"/>
  <c r="C684" i="1"/>
  <c r="C682" i="1"/>
  <c r="C680" i="1"/>
  <c r="C678" i="1"/>
  <c r="C676" i="1"/>
  <c r="C674" i="1"/>
  <c r="C672" i="1"/>
  <c r="C670" i="1"/>
  <c r="C668" i="1"/>
  <c r="C666" i="1"/>
  <c r="C664" i="1"/>
  <c r="C662" i="1"/>
  <c r="C660" i="1"/>
  <c r="C658" i="1"/>
  <c r="C656" i="1"/>
  <c r="C654" i="1"/>
  <c r="C652" i="1"/>
  <c r="C650" i="1"/>
  <c r="C648" i="1"/>
  <c r="C646" i="1"/>
  <c r="C644" i="1"/>
  <c r="C642" i="1"/>
  <c r="C640" i="1"/>
  <c r="C638" i="1"/>
  <c r="C636" i="1"/>
  <c r="C634" i="1"/>
  <c r="C632" i="1"/>
  <c r="C630" i="1"/>
  <c r="C628" i="1"/>
  <c r="C626" i="1"/>
  <c r="C624" i="1"/>
  <c r="C622" i="1"/>
  <c r="C620" i="1"/>
  <c r="C618" i="1"/>
  <c r="C616" i="1"/>
  <c r="C614" i="1"/>
  <c r="C612" i="1"/>
  <c r="C610" i="1"/>
  <c r="C608" i="1"/>
  <c r="C606" i="1"/>
  <c r="C604" i="1"/>
  <c r="C602" i="1"/>
  <c r="C600" i="1"/>
  <c r="C598" i="1"/>
  <c r="C596" i="1"/>
  <c r="C594" i="1"/>
  <c r="C592" i="1"/>
  <c r="C590" i="1"/>
  <c r="C588" i="1"/>
  <c r="C586" i="1"/>
  <c r="C584" i="1"/>
  <c r="C582" i="1"/>
  <c r="C580" i="1"/>
  <c r="C578" i="1"/>
  <c r="C576" i="1"/>
  <c r="C574" i="1"/>
  <c r="C572" i="1"/>
  <c r="C570" i="1"/>
  <c r="C568" i="1"/>
  <c r="C566" i="1"/>
  <c r="C564" i="1"/>
  <c r="C562" i="1"/>
  <c r="C560" i="1"/>
  <c r="C558" i="1"/>
  <c r="C556" i="1"/>
  <c r="C554" i="1"/>
  <c r="C552" i="1"/>
  <c r="C550" i="1"/>
  <c r="C548" i="1"/>
  <c r="C546" i="1"/>
  <c r="C544" i="1"/>
  <c r="C542" i="1"/>
  <c r="C540" i="1"/>
  <c r="C538" i="1"/>
  <c r="C536" i="1"/>
  <c r="C534" i="1"/>
  <c r="C532" i="1"/>
  <c r="C530" i="1"/>
  <c r="C528" i="1"/>
  <c r="C526" i="1"/>
  <c r="C524" i="1"/>
  <c r="C522" i="1"/>
  <c r="C520" i="1"/>
  <c r="C518" i="1"/>
  <c r="C516" i="1"/>
  <c r="C514" i="1"/>
  <c r="C512" i="1"/>
  <c r="C510" i="1"/>
  <c r="C508" i="1"/>
  <c r="C506" i="1"/>
  <c r="C504" i="1"/>
  <c r="C502" i="1"/>
  <c r="C500" i="1"/>
  <c r="C498" i="1"/>
  <c r="C496" i="1"/>
  <c r="C494" i="1"/>
  <c r="C492" i="1"/>
  <c r="C490" i="1"/>
  <c r="C488" i="1"/>
  <c r="C486" i="1"/>
  <c r="C484" i="1"/>
  <c r="C482" i="1"/>
  <c r="C480" i="1"/>
  <c r="C478" i="1"/>
  <c r="C476" i="1"/>
  <c r="C474" i="1"/>
  <c r="C472" i="1"/>
  <c r="C470" i="1"/>
  <c r="C468" i="1"/>
  <c r="C466" i="1"/>
  <c r="C464" i="1"/>
  <c r="C462" i="1"/>
  <c r="C460" i="1"/>
  <c r="C458" i="1"/>
  <c r="C456" i="1"/>
  <c r="C454" i="1"/>
  <c r="C452" i="1"/>
  <c r="C450" i="1"/>
  <c r="C448" i="1"/>
  <c r="C446" i="1"/>
  <c r="C444" i="1"/>
  <c r="C442" i="1"/>
  <c r="C440" i="1"/>
  <c r="C438" i="1"/>
  <c r="C436" i="1"/>
  <c r="C434" i="1"/>
  <c r="C432" i="1"/>
  <c r="C430" i="1"/>
  <c r="C428" i="1"/>
  <c r="C426" i="1"/>
  <c r="C424" i="1"/>
  <c r="C422" i="1"/>
  <c r="C420" i="1"/>
  <c r="C418" i="1"/>
  <c r="C416" i="1"/>
  <c r="C414" i="1"/>
  <c r="C412" i="1"/>
  <c r="C410" i="1"/>
  <c r="C408" i="1"/>
  <c r="C406" i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290" i="1"/>
  <c r="C288" i="1"/>
  <c r="C286" i="1"/>
  <c r="C284" i="1"/>
  <c r="C282" i="1"/>
  <c r="C280" i="1"/>
  <c r="C278" i="1"/>
  <c r="C276" i="1"/>
  <c r="C274" i="1"/>
  <c r="C272" i="1"/>
  <c r="C270" i="1"/>
  <c r="C268" i="1"/>
  <c r="C266" i="1"/>
  <c r="C264" i="1"/>
  <c r="C262" i="1"/>
  <c r="C260" i="1"/>
  <c r="C258" i="1"/>
  <c r="C256" i="1"/>
  <c r="C254" i="1"/>
  <c r="C252" i="1"/>
  <c r="C250" i="1"/>
  <c r="C248" i="1"/>
  <c r="C246" i="1"/>
  <c r="C244" i="1"/>
  <c r="C242" i="1"/>
  <c r="C240" i="1"/>
  <c r="C238" i="1"/>
  <c r="C236" i="1"/>
  <c r="C234" i="1"/>
  <c r="C232" i="1"/>
  <c r="C230" i="1"/>
  <c r="C228" i="1"/>
  <c r="C226" i="1"/>
  <c r="C224" i="1"/>
  <c r="C222" i="1"/>
  <c r="C220" i="1"/>
  <c r="C218" i="1"/>
  <c r="C216" i="1"/>
  <c r="C214" i="1"/>
  <c r="C212" i="1"/>
  <c r="C210" i="1"/>
  <c r="C208" i="1"/>
  <c r="C206" i="1"/>
  <c r="C204" i="1"/>
  <c r="C202" i="1"/>
  <c r="C200" i="1"/>
  <c r="C198" i="1"/>
  <c r="C196" i="1"/>
  <c r="C194" i="1"/>
  <c r="C192" i="1"/>
  <c r="C190" i="1"/>
  <c r="C188" i="1"/>
  <c r="C186" i="1"/>
  <c r="C184" i="1"/>
  <c r="C182" i="1"/>
  <c r="C180" i="1"/>
  <c r="C178" i="1"/>
  <c r="C176" i="1"/>
  <c r="C174" i="1"/>
  <c r="C172" i="1"/>
  <c r="C170" i="1"/>
  <c r="C168" i="1"/>
  <c r="C166" i="1"/>
  <c r="C164" i="1"/>
  <c r="C162" i="1"/>
  <c r="C160" i="1"/>
  <c r="C158" i="1"/>
  <c r="C156" i="1"/>
  <c r="C154" i="1"/>
  <c r="C152" i="1"/>
  <c r="C150" i="1"/>
  <c r="C148" i="1"/>
  <c r="C146" i="1"/>
  <c r="C144" i="1"/>
  <c r="C142" i="1"/>
  <c r="C140" i="1"/>
  <c r="C138" i="1"/>
  <c r="C136" i="1"/>
  <c r="C134" i="1"/>
  <c r="C132" i="1"/>
  <c r="C130" i="1"/>
  <c r="C128" i="1"/>
  <c r="C126" i="1"/>
  <c r="C124" i="1"/>
  <c r="C122" i="1"/>
  <c r="C120" i="1"/>
  <c r="C118" i="1"/>
  <c r="C116" i="1"/>
  <c r="C114" i="1"/>
  <c r="C112" i="1"/>
  <c r="C110" i="1"/>
  <c r="C108" i="1"/>
  <c r="C106" i="1"/>
  <c r="C104" i="1"/>
  <c r="C102" i="1"/>
  <c r="C100" i="1"/>
  <c r="C98" i="1"/>
  <c r="C96" i="1"/>
  <c r="C94" i="1"/>
  <c r="C92" i="1"/>
  <c r="C90" i="1"/>
  <c r="C88" i="1"/>
  <c r="C86" i="1"/>
  <c r="C84" i="1"/>
  <c r="C82" i="1"/>
  <c r="C80" i="1"/>
  <c r="C74" i="1"/>
  <c r="C66" i="1"/>
  <c r="C58" i="1"/>
  <c r="C46" i="1"/>
  <c r="C38" i="1"/>
  <c r="C28" i="1"/>
  <c r="C20" i="1"/>
  <c r="C8" i="1"/>
  <c r="C970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14" i="1"/>
  <c r="C910" i="1"/>
  <c r="C907" i="1"/>
  <c r="C904" i="1"/>
  <c r="D901" i="1"/>
  <c r="C899" i="1"/>
  <c r="C896" i="1"/>
  <c r="D893" i="1"/>
  <c r="C891" i="1"/>
  <c r="C888" i="1"/>
  <c r="D885" i="1"/>
  <c r="C883" i="1"/>
  <c r="C880" i="1"/>
  <c r="D877" i="1"/>
  <c r="D875" i="1"/>
  <c r="D873" i="1"/>
  <c r="D871" i="1"/>
  <c r="D869" i="1"/>
  <c r="D867" i="1"/>
  <c r="D865" i="1"/>
  <c r="D863" i="1"/>
  <c r="D861" i="1"/>
  <c r="D859" i="1"/>
  <c r="D857" i="1"/>
  <c r="D855" i="1"/>
  <c r="D853" i="1"/>
  <c r="D851" i="1"/>
  <c r="D849" i="1"/>
  <c r="D847" i="1"/>
  <c r="D845" i="1"/>
  <c r="D843" i="1"/>
  <c r="D841" i="1"/>
  <c r="D839" i="1"/>
  <c r="D837" i="1"/>
  <c r="D835" i="1"/>
  <c r="D833" i="1"/>
  <c r="D831" i="1"/>
  <c r="D829" i="1"/>
  <c r="D827" i="1"/>
  <c r="D825" i="1"/>
  <c r="D823" i="1"/>
  <c r="D821" i="1"/>
  <c r="D819" i="1"/>
  <c r="D817" i="1"/>
  <c r="D815" i="1"/>
  <c r="D813" i="1"/>
  <c r="D811" i="1"/>
  <c r="D809" i="1"/>
  <c r="D807" i="1"/>
  <c r="D805" i="1"/>
  <c r="D803" i="1"/>
  <c r="D801" i="1"/>
  <c r="D799" i="1"/>
  <c r="D797" i="1"/>
  <c r="D795" i="1"/>
  <c r="D793" i="1"/>
  <c r="D791" i="1"/>
  <c r="D789" i="1"/>
  <c r="D787" i="1"/>
  <c r="D785" i="1"/>
  <c r="D783" i="1"/>
  <c r="D781" i="1"/>
  <c r="D779" i="1"/>
  <c r="D777" i="1"/>
  <c r="D775" i="1"/>
  <c r="D773" i="1"/>
  <c r="D771" i="1"/>
  <c r="D769" i="1"/>
  <c r="D767" i="1"/>
  <c r="D765" i="1"/>
  <c r="D763" i="1"/>
  <c r="D761" i="1"/>
  <c r="D759" i="1"/>
  <c r="D757" i="1"/>
  <c r="D755" i="1"/>
  <c r="D753" i="1"/>
  <c r="D751" i="1"/>
  <c r="D749" i="1"/>
  <c r="D747" i="1"/>
  <c r="D745" i="1"/>
  <c r="D743" i="1"/>
  <c r="D741" i="1"/>
  <c r="D739" i="1"/>
  <c r="D737" i="1"/>
  <c r="D735" i="1"/>
  <c r="D733" i="1"/>
  <c r="D731" i="1"/>
  <c r="D729" i="1"/>
  <c r="D727" i="1"/>
  <c r="D725" i="1"/>
  <c r="D723" i="1"/>
  <c r="D721" i="1"/>
  <c r="D719" i="1"/>
  <c r="D717" i="1"/>
  <c r="D715" i="1"/>
  <c r="D713" i="1"/>
  <c r="D711" i="1"/>
  <c r="D709" i="1"/>
  <c r="D707" i="1"/>
  <c r="D705" i="1"/>
  <c r="D703" i="1"/>
  <c r="D701" i="1"/>
  <c r="D699" i="1"/>
  <c r="D697" i="1"/>
  <c r="D695" i="1"/>
  <c r="D693" i="1"/>
  <c r="D691" i="1"/>
  <c r="D689" i="1"/>
  <c r="D687" i="1"/>
  <c r="D685" i="1"/>
  <c r="D683" i="1"/>
  <c r="D681" i="1"/>
  <c r="D679" i="1"/>
  <c r="D677" i="1"/>
  <c r="D675" i="1"/>
  <c r="D673" i="1"/>
  <c r="D671" i="1"/>
  <c r="D669" i="1"/>
  <c r="D667" i="1"/>
  <c r="D665" i="1"/>
  <c r="D663" i="1"/>
  <c r="D661" i="1"/>
  <c r="D659" i="1"/>
  <c r="D657" i="1"/>
  <c r="D655" i="1"/>
  <c r="D653" i="1"/>
  <c r="D651" i="1"/>
  <c r="D649" i="1"/>
  <c r="D647" i="1"/>
  <c r="D645" i="1"/>
  <c r="D643" i="1"/>
  <c r="D641" i="1"/>
  <c r="D639" i="1"/>
  <c r="D637" i="1"/>
  <c r="D635" i="1"/>
  <c r="D633" i="1"/>
  <c r="D631" i="1"/>
  <c r="D629" i="1"/>
  <c r="D627" i="1"/>
  <c r="D625" i="1"/>
  <c r="D623" i="1"/>
  <c r="D621" i="1"/>
  <c r="D619" i="1"/>
  <c r="D617" i="1"/>
  <c r="D615" i="1"/>
  <c r="D613" i="1"/>
  <c r="D611" i="1"/>
  <c r="D609" i="1"/>
  <c r="D607" i="1"/>
  <c r="D605" i="1"/>
  <c r="D603" i="1"/>
  <c r="D601" i="1"/>
  <c r="D599" i="1"/>
  <c r="D597" i="1"/>
  <c r="D595" i="1"/>
  <c r="D593" i="1"/>
  <c r="D591" i="1"/>
  <c r="D589" i="1"/>
  <c r="D587" i="1"/>
  <c r="D585" i="1"/>
  <c r="D583" i="1"/>
  <c r="D581" i="1"/>
  <c r="D579" i="1"/>
  <c r="D577" i="1"/>
  <c r="D575" i="1"/>
  <c r="D573" i="1"/>
  <c r="D571" i="1"/>
  <c r="D569" i="1"/>
  <c r="D567" i="1"/>
  <c r="D565" i="1"/>
  <c r="D563" i="1"/>
  <c r="D561" i="1"/>
  <c r="D559" i="1"/>
  <c r="D557" i="1"/>
  <c r="D555" i="1"/>
  <c r="D553" i="1"/>
  <c r="D551" i="1"/>
  <c r="D549" i="1"/>
  <c r="D547" i="1"/>
  <c r="D545" i="1"/>
  <c r="D543" i="1"/>
  <c r="D541" i="1"/>
  <c r="D539" i="1"/>
  <c r="D537" i="1"/>
  <c r="D535" i="1"/>
  <c r="D533" i="1"/>
  <c r="D531" i="1"/>
  <c r="D529" i="1"/>
  <c r="D527" i="1"/>
  <c r="D525" i="1"/>
  <c r="D523" i="1"/>
  <c r="D521" i="1"/>
  <c r="D519" i="1"/>
  <c r="D517" i="1"/>
  <c r="D515" i="1"/>
  <c r="D513" i="1"/>
  <c r="D511" i="1"/>
  <c r="D509" i="1"/>
  <c r="D507" i="1"/>
  <c r="D505" i="1"/>
  <c r="D503" i="1"/>
  <c r="D501" i="1"/>
  <c r="D499" i="1"/>
  <c r="D497" i="1"/>
  <c r="D495" i="1"/>
  <c r="D493" i="1"/>
  <c r="D491" i="1"/>
  <c r="D489" i="1"/>
  <c r="D487" i="1"/>
  <c r="D485" i="1"/>
  <c r="D483" i="1"/>
  <c r="D481" i="1"/>
  <c r="D479" i="1"/>
  <c r="D477" i="1"/>
  <c r="D475" i="1"/>
  <c r="D473" i="1"/>
  <c r="D471" i="1"/>
  <c r="D469" i="1"/>
  <c r="D467" i="1"/>
  <c r="D465" i="1"/>
  <c r="D463" i="1"/>
  <c r="D461" i="1"/>
  <c r="D459" i="1"/>
  <c r="D457" i="1"/>
  <c r="D455" i="1"/>
  <c r="D453" i="1"/>
  <c r="D451" i="1"/>
  <c r="D449" i="1"/>
  <c r="D447" i="1"/>
  <c r="D445" i="1"/>
  <c r="D443" i="1"/>
  <c r="D441" i="1"/>
  <c r="D439" i="1"/>
  <c r="D437" i="1"/>
  <c r="D435" i="1"/>
  <c r="D433" i="1"/>
  <c r="D431" i="1"/>
  <c r="D429" i="1"/>
  <c r="D427" i="1"/>
  <c r="D425" i="1"/>
  <c r="D423" i="1"/>
  <c r="D421" i="1"/>
  <c r="D419" i="1"/>
  <c r="D417" i="1"/>
  <c r="D415" i="1"/>
  <c r="D413" i="1"/>
  <c r="D411" i="1"/>
  <c r="D409" i="1"/>
  <c r="D407" i="1"/>
  <c r="D405" i="1"/>
  <c r="D403" i="1"/>
  <c r="D401" i="1"/>
  <c r="D399" i="1"/>
  <c r="D397" i="1"/>
  <c r="D395" i="1"/>
  <c r="D393" i="1"/>
  <c r="D391" i="1"/>
  <c r="D389" i="1"/>
  <c r="D387" i="1"/>
  <c r="D385" i="1"/>
  <c r="D383" i="1"/>
  <c r="D381" i="1"/>
  <c r="D379" i="1"/>
  <c r="D377" i="1"/>
  <c r="D375" i="1"/>
  <c r="D373" i="1"/>
  <c r="D371" i="1"/>
  <c r="D369" i="1"/>
  <c r="D367" i="1"/>
  <c r="D365" i="1"/>
  <c r="D363" i="1"/>
  <c r="D361" i="1"/>
  <c r="D359" i="1"/>
  <c r="D357" i="1"/>
  <c r="D355" i="1"/>
  <c r="D353" i="1"/>
  <c r="D351" i="1"/>
  <c r="D349" i="1"/>
  <c r="D347" i="1"/>
  <c r="D345" i="1"/>
  <c r="D343" i="1"/>
  <c r="D341" i="1"/>
  <c r="D339" i="1"/>
  <c r="D337" i="1"/>
  <c r="D335" i="1"/>
  <c r="D333" i="1"/>
  <c r="D331" i="1"/>
  <c r="D329" i="1"/>
  <c r="D327" i="1"/>
  <c r="D325" i="1"/>
  <c r="D323" i="1"/>
  <c r="D321" i="1"/>
  <c r="D319" i="1"/>
  <c r="D317" i="1"/>
  <c r="D315" i="1"/>
  <c r="D313" i="1"/>
  <c r="D311" i="1"/>
  <c r="D309" i="1"/>
  <c r="D307" i="1"/>
  <c r="D305" i="1"/>
  <c r="D303" i="1"/>
  <c r="D301" i="1"/>
  <c r="D299" i="1"/>
  <c r="D297" i="1"/>
  <c r="D295" i="1"/>
  <c r="D293" i="1"/>
  <c r="D291" i="1"/>
  <c r="D289" i="1"/>
  <c r="D287" i="1"/>
  <c r="D285" i="1"/>
  <c r="D283" i="1"/>
  <c r="D281" i="1"/>
  <c r="D279" i="1"/>
  <c r="D277" i="1"/>
  <c r="D275" i="1"/>
  <c r="D273" i="1"/>
  <c r="D271" i="1"/>
  <c r="D269" i="1"/>
  <c r="D267" i="1"/>
  <c r="D265" i="1"/>
  <c r="D263" i="1"/>
  <c r="D261" i="1"/>
  <c r="D259" i="1"/>
  <c r="D257" i="1"/>
  <c r="D255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5" i="1"/>
  <c r="D223" i="1"/>
  <c r="D221" i="1"/>
  <c r="D219" i="1"/>
  <c r="D217" i="1"/>
  <c r="D215" i="1"/>
  <c r="D213" i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183" i="1"/>
  <c r="D181" i="1"/>
  <c r="D179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5" i="1"/>
  <c r="D3" i="1"/>
  <c r="D90" i="1"/>
  <c r="D84" i="1"/>
  <c r="D80" i="1"/>
  <c r="D74" i="1"/>
  <c r="D68" i="1"/>
  <c r="D62" i="1"/>
  <c r="D58" i="1"/>
  <c r="D52" i="1"/>
  <c r="D46" i="1"/>
  <c r="D42" i="1"/>
  <c r="D36" i="1"/>
  <c r="D30" i="1"/>
  <c r="D26" i="1"/>
  <c r="D20" i="1"/>
  <c r="D16" i="1"/>
  <c r="D12" i="1"/>
  <c r="D6" i="1"/>
  <c r="C78" i="1"/>
  <c r="C68" i="1"/>
  <c r="C62" i="1"/>
  <c r="C54" i="1"/>
  <c r="C48" i="1"/>
  <c r="C40" i="1"/>
  <c r="C32" i="1"/>
  <c r="C24" i="1"/>
  <c r="C18" i="1"/>
  <c r="C12" i="1"/>
  <c r="C4" i="1"/>
  <c r="C968" i="1"/>
  <c r="D961" i="1"/>
  <c r="D957" i="1"/>
  <c r="D953" i="1"/>
  <c r="D949" i="1"/>
  <c r="D945" i="1"/>
  <c r="D941" i="1"/>
  <c r="D937" i="1"/>
  <c r="D933" i="1"/>
  <c r="D929" i="1"/>
  <c r="D925" i="1"/>
  <c r="D921" i="1"/>
  <c r="D917" i="1"/>
  <c r="D913" i="1"/>
  <c r="D909" i="1"/>
  <c r="C906" i="1"/>
  <c r="D903" i="1"/>
  <c r="C901" i="1"/>
  <c r="C898" i="1"/>
  <c r="D895" i="1"/>
  <c r="C893" i="1"/>
  <c r="C890" i="1"/>
  <c r="D887" i="1"/>
  <c r="C885" i="1"/>
  <c r="C882" i="1"/>
  <c r="D879" i="1"/>
  <c r="C877" i="1"/>
  <c r="C875" i="1"/>
  <c r="C873" i="1"/>
  <c r="C871" i="1"/>
  <c r="C869" i="1"/>
  <c r="C867" i="1"/>
  <c r="C865" i="1"/>
  <c r="C863" i="1"/>
  <c r="C861" i="1"/>
  <c r="C859" i="1"/>
  <c r="C857" i="1"/>
  <c r="C855" i="1"/>
  <c r="C853" i="1"/>
  <c r="C851" i="1"/>
  <c r="C849" i="1"/>
  <c r="C847" i="1"/>
  <c r="C845" i="1"/>
  <c r="C843" i="1"/>
  <c r="C841" i="1"/>
  <c r="C839" i="1"/>
  <c r="C837" i="1"/>
  <c r="C835" i="1"/>
  <c r="C833" i="1"/>
  <c r="C831" i="1"/>
  <c r="C829" i="1"/>
  <c r="C827" i="1"/>
  <c r="C825" i="1"/>
  <c r="C823" i="1"/>
  <c r="C821" i="1"/>
  <c r="C819" i="1"/>
  <c r="C817" i="1"/>
  <c r="C815" i="1"/>
  <c r="C813" i="1"/>
  <c r="C811" i="1"/>
  <c r="C809" i="1"/>
  <c r="C807" i="1"/>
  <c r="C805" i="1"/>
  <c r="C803" i="1"/>
  <c r="C801" i="1"/>
  <c r="C799" i="1"/>
  <c r="C797" i="1"/>
  <c r="C795" i="1"/>
  <c r="C793" i="1"/>
  <c r="C791" i="1"/>
  <c r="C789" i="1"/>
  <c r="C787" i="1"/>
  <c r="C785" i="1"/>
  <c r="C783" i="1"/>
  <c r="C781" i="1"/>
  <c r="C779" i="1"/>
  <c r="C777" i="1"/>
  <c r="C775" i="1"/>
  <c r="C773" i="1"/>
  <c r="C771" i="1"/>
  <c r="C769" i="1"/>
  <c r="C767" i="1"/>
  <c r="C765" i="1"/>
  <c r="C763" i="1"/>
  <c r="C761" i="1"/>
  <c r="C759" i="1"/>
  <c r="C757" i="1"/>
  <c r="C755" i="1"/>
  <c r="C753" i="1"/>
  <c r="C751" i="1"/>
  <c r="C749" i="1"/>
  <c r="C747" i="1"/>
  <c r="C745" i="1"/>
  <c r="C743" i="1"/>
  <c r="C741" i="1"/>
  <c r="C739" i="1"/>
  <c r="C737" i="1"/>
  <c r="C735" i="1"/>
  <c r="C733" i="1"/>
  <c r="C731" i="1"/>
  <c r="C729" i="1"/>
  <c r="C727" i="1"/>
  <c r="C725" i="1"/>
  <c r="C723" i="1"/>
  <c r="C721" i="1"/>
  <c r="C719" i="1"/>
  <c r="C717" i="1"/>
  <c r="C715" i="1"/>
  <c r="C713" i="1"/>
  <c r="C711" i="1"/>
  <c r="C709" i="1"/>
  <c r="C707" i="1"/>
  <c r="C705" i="1"/>
  <c r="C703" i="1"/>
  <c r="C701" i="1"/>
  <c r="C699" i="1"/>
  <c r="C697" i="1"/>
  <c r="C695" i="1"/>
  <c r="C693" i="1"/>
  <c r="C691" i="1"/>
  <c r="C689" i="1"/>
  <c r="C687" i="1"/>
  <c r="C685" i="1"/>
  <c r="C683" i="1"/>
  <c r="C681" i="1"/>
  <c r="C679" i="1"/>
  <c r="C677" i="1"/>
  <c r="C675" i="1"/>
  <c r="C673" i="1"/>
  <c r="C671" i="1"/>
  <c r="C669" i="1"/>
  <c r="C667" i="1"/>
  <c r="C665" i="1"/>
  <c r="C663" i="1"/>
  <c r="C661" i="1"/>
  <c r="C659" i="1"/>
  <c r="C657" i="1"/>
  <c r="C655" i="1"/>
  <c r="C653" i="1"/>
  <c r="C651" i="1"/>
  <c r="C649" i="1"/>
  <c r="C647" i="1"/>
  <c r="C645" i="1"/>
  <c r="C643" i="1"/>
  <c r="C641" i="1"/>
  <c r="C639" i="1"/>
  <c r="C637" i="1"/>
  <c r="C635" i="1"/>
  <c r="C633" i="1"/>
  <c r="C631" i="1"/>
  <c r="C629" i="1"/>
  <c r="C627" i="1"/>
  <c r="C625" i="1"/>
  <c r="C623" i="1"/>
  <c r="C621" i="1"/>
  <c r="C619" i="1"/>
  <c r="C617" i="1"/>
  <c r="C615" i="1"/>
  <c r="C613" i="1"/>
  <c r="C611" i="1"/>
  <c r="C609" i="1"/>
  <c r="C607" i="1"/>
  <c r="C605" i="1"/>
  <c r="C603" i="1"/>
  <c r="C601" i="1"/>
  <c r="C599" i="1"/>
  <c r="C597" i="1"/>
  <c r="C595" i="1"/>
  <c r="C593" i="1"/>
  <c r="C591" i="1"/>
  <c r="C589" i="1"/>
  <c r="C587" i="1"/>
  <c r="C585" i="1"/>
  <c r="C583" i="1"/>
  <c r="C581" i="1"/>
  <c r="C579" i="1"/>
  <c r="C577" i="1"/>
  <c r="C575" i="1"/>
  <c r="C573" i="1"/>
  <c r="C571" i="1"/>
  <c r="C569" i="1"/>
  <c r="C567" i="1"/>
  <c r="C565" i="1"/>
  <c r="C563" i="1"/>
  <c r="C561" i="1"/>
  <c r="C559" i="1"/>
  <c r="C557" i="1"/>
  <c r="C555" i="1"/>
  <c r="C553" i="1"/>
  <c r="C551" i="1"/>
  <c r="C549" i="1"/>
  <c r="C547" i="1"/>
  <c r="C545" i="1"/>
  <c r="C543" i="1"/>
  <c r="C541" i="1"/>
  <c r="C539" i="1"/>
  <c r="C537" i="1"/>
  <c r="C535" i="1"/>
  <c r="C533" i="1"/>
  <c r="C531" i="1"/>
  <c r="C529" i="1"/>
  <c r="C527" i="1"/>
  <c r="C525" i="1"/>
  <c r="C523" i="1"/>
  <c r="C521" i="1"/>
  <c r="C519" i="1"/>
  <c r="C517" i="1"/>
  <c r="C515" i="1"/>
  <c r="C513" i="1"/>
  <c r="C511" i="1"/>
  <c r="C509" i="1"/>
  <c r="C507" i="1"/>
  <c r="C505" i="1"/>
  <c r="C503" i="1"/>
  <c r="C501" i="1"/>
  <c r="C499" i="1"/>
  <c r="C497" i="1"/>
  <c r="C495" i="1"/>
  <c r="C493" i="1"/>
  <c r="C491" i="1"/>
  <c r="C489" i="1"/>
  <c r="C487" i="1"/>
  <c r="C485" i="1"/>
  <c r="C483" i="1"/>
  <c r="C481" i="1"/>
  <c r="C479" i="1"/>
  <c r="C477" i="1"/>
  <c r="C475" i="1"/>
  <c r="C473" i="1"/>
  <c r="C471" i="1"/>
  <c r="C469" i="1"/>
  <c r="C467" i="1"/>
  <c r="C465" i="1"/>
  <c r="C463" i="1"/>
  <c r="C461" i="1"/>
  <c r="C459" i="1"/>
  <c r="C457" i="1"/>
  <c r="C455" i="1"/>
  <c r="C453" i="1"/>
  <c r="C451" i="1"/>
  <c r="C449" i="1"/>
  <c r="C447" i="1"/>
  <c r="C445" i="1"/>
  <c r="C443" i="1"/>
  <c r="C441" i="1"/>
  <c r="C439" i="1"/>
  <c r="C437" i="1"/>
  <c r="C435" i="1"/>
  <c r="C433" i="1"/>
  <c r="C431" i="1"/>
  <c r="C429" i="1"/>
  <c r="C427" i="1"/>
  <c r="C425" i="1"/>
  <c r="C423" i="1"/>
  <c r="C421" i="1"/>
  <c r="C419" i="1"/>
  <c r="C417" i="1"/>
  <c r="C415" i="1"/>
  <c r="C413" i="1"/>
  <c r="C411" i="1"/>
  <c r="C409" i="1"/>
  <c r="C407" i="1"/>
  <c r="C405" i="1"/>
  <c r="C403" i="1"/>
  <c r="C401" i="1"/>
  <c r="C399" i="1"/>
  <c r="C397" i="1"/>
  <c r="C395" i="1"/>
  <c r="C393" i="1"/>
  <c r="C391" i="1"/>
  <c r="C389" i="1"/>
  <c r="C387" i="1"/>
  <c r="C385" i="1"/>
  <c r="C383" i="1"/>
  <c r="C381" i="1"/>
  <c r="C379" i="1"/>
  <c r="C377" i="1"/>
  <c r="C375" i="1"/>
  <c r="C373" i="1"/>
  <c r="C371" i="1"/>
  <c r="C369" i="1"/>
  <c r="C367" i="1"/>
  <c r="C365" i="1"/>
  <c r="C363" i="1"/>
  <c r="C361" i="1"/>
  <c r="C359" i="1"/>
  <c r="C357" i="1"/>
  <c r="C355" i="1"/>
  <c r="C353" i="1"/>
  <c r="C351" i="1"/>
  <c r="C349" i="1"/>
  <c r="C347" i="1"/>
  <c r="C345" i="1"/>
  <c r="C343" i="1"/>
  <c r="C341" i="1"/>
  <c r="C339" i="1"/>
  <c r="C337" i="1"/>
  <c r="C335" i="1"/>
  <c r="C333" i="1"/>
  <c r="C331" i="1"/>
  <c r="C329" i="1"/>
  <c r="C327" i="1"/>
  <c r="C325" i="1"/>
  <c r="C323" i="1"/>
  <c r="C321" i="1"/>
  <c r="C319" i="1"/>
  <c r="C317" i="1"/>
  <c r="C315" i="1"/>
  <c r="C313" i="1"/>
  <c r="C311" i="1"/>
  <c r="C309" i="1"/>
  <c r="C307" i="1"/>
  <c r="C305" i="1"/>
  <c r="C303" i="1"/>
  <c r="C301" i="1"/>
  <c r="C299" i="1"/>
  <c r="C297" i="1"/>
  <c r="C295" i="1"/>
  <c r="C293" i="1"/>
  <c r="C291" i="1"/>
  <c r="C289" i="1"/>
  <c r="C287" i="1"/>
  <c r="C285" i="1"/>
  <c r="C283" i="1"/>
  <c r="C281" i="1"/>
  <c r="C279" i="1"/>
  <c r="C277" i="1"/>
  <c r="C275" i="1"/>
  <c r="C273" i="1"/>
  <c r="C271" i="1"/>
  <c r="C269" i="1"/>
  <c r="C267" i="1"/>
  <c r="C265" i="1"/>
  <c r="C263" i="1"/>
  <c r="C261" i="1"/>
  <c r="C259" i="1"/>
  <c r="C257" i="1"/>
  <c r="C255" i="1"/>
  <c r="C253" i="1"/>
  <c r="C251" i="1"/>
  <c r="C249" i="1"/>
  <c r="C247" i="1"/>
  <c r="C245" i="1"/>
  <c r="C243" i="1"/>
  <c r="C241" i="1"/>
  <c r="C239" i="1"/>
  <c r="C237" i="1"/>
  <c r="C235" i="1"/>
  <c r="C233" i="1"/>
  <c r="C231" i="1"/>
  <c r="C229" i="1"/>
  <c r="C227" i="1"/>
  <c r="C225" i="1"/>
  <c r="C223" i="1"/>
  <c r="C221" i="1"/>
  <c r="C219" i="1"/>
  <c r="C217" i="1"/>
  <c r="C215" i="1"/>
  <c r="C213" i="1"/>
  <c r="C211" i="1"/>
  <c r="C209" i="1"/>
  <c r="C207" i="1"/>
  <c r="C205" i="1"/>
  <c r="C203" i="1"/>
  <c r="C201" i="1"/>
  <c r="C199" i="1"/>
  <c r="C197" i="1"/>
  <c r="C195" i="1"/>
  <c r="C193" i="1"/>
  <c r="C191" i="1"/>
  <c r="C189" i="1"/>
  <c r="C187" i="1"/>
  <c r="C185" i="1"/>
  <c r="C183" i="1"/>
  <c r="C181" i="1"/>
  <c r="C179" i="1"/>
  <c r="C177" i="1"/>
  <c r="C175" i="1"/>
  <c r="C173" i="1"/>
  <c r="C171" i="1"/>
  <c r="C169" i="1"/>
  <c r="C167" i="1"/>
  <c r="C165" i="1"/>
  <c r="C163" i="1"/>
  <c r="C161" i="1"/>
  <c r="C159" i="1"/>
  <c r="C157" i="1"/>
  <c r="C155" i="1"/>
  <c r="C153" i="1"/>
  <c r="C151" i="1"/>
  <c r="C149" i="1"/>
  <c r="C147" i="1"/>
  <c r="C145" i="1"/>
  <c r="C143" i="1"/>
  <c r="C141" i="1"/>
  <c r="C139" i="1"/>
  <c r="C137" i="1"/>
  <c r="C135" i="1"/>
  <c r="C133" i="1"/>
  <c r="C131" i="1"/>
  <c r="C129" i="1"/>
  <c r="C127" i="1"/>
  <c r="C125" i="1"/>
  <c r="C123" i="1"/>
  <c r="C121" i="1"/>
  <c r="C119" i="1"/>
  <c r="C117" i="1"/>
  <c r="C115" i="1"/>
  <c r="C113" i="1"/>
  <c r="C111" i="1"/>
  <c r="C109" i="1"/>
  <c r="C107" i="1"/>
  <c r="C105" i="1"/>
  <c r="C103" i="1"/>
  <c r="C101" i="1"/>
  <c r="C99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71" i="1"/>
  <c r="C69" i="1"/>
  <c r="C67" i="1"/>
  <c r="C65" i="1"/>
  <c r="C63" i="1"/>
  <c r="C61" i="1"/>
  <c r="C59" i="1"/>
  <c r="C57" i="1"/>
  <c r="C55" i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C5" i="1"/>
  <c r="C3" i="1"/>
  <c r="D98" i="1"/>
  <c r="D92" i="1"/>
  <c r="D88" i="1"/>
  <c r="D82" i="1"/>
  <c r="D76" i="1"/>
  <c r="D70" i="1"/>
  <c r="D66" i="1"/>
  <c r="D60" i="1"/>
  <c r="D54" i="1"/>
  <c r="D50" i="1"/>
  <c r="D44" i="1"/>
  <c r="D38" i="1"/>
  <c r="D34" i="1"/>
  <c r="D28" i="1"/>
  <c r="D22" i="1"/>
  <c r="D14" i="1"/>
  <c r="D10" i="1"/>
  <c r="D4" i="1"/>
  <c r="C76" i="1"/>
  <c r="C70" i="1"/>
  <c r="C64" i="1"/>
  <c r="C56" i="1"/>
  <c r="C50" i="1"/>
  <c r="C42" i="1"/>
  <c r="C36" i="1"/>
  <c r="C30" i="1"/>
  <c r="C22" i="1"/>
  <c r="C14" i="1"/>
  <c r="C10" i="1"/>
  <c r="C2" i="1"/>
</calcChain>
</file>

<file path=xl/sharedStrings.xml><?xml version="1.0" encoding="utf-8"?>
<sst xmlns="http://schemas.openxmlformats.org/spreadsheetml/2006/main" count="3560" uniqueCount="3560">
  <si>
    <t>SKU</t>
  </si>
  <si>
    <t>Euro Retail</t>
  </si>
  <si>
    <t>Image</t>
  </si>
  <si>
    <t>Link a Imagen</t>
  </si>
  <si>
    <t>160050C01-44</t>
  </si>
  <si>
    <t>160050C01-46</t>
  </si>
  <si>
    <t>160050C01-48</t>
  </si>
  <si>
    <t>160050C01-50</t>
  </si>
  <si>
    <t>160050C01-52</t>
  </si>
  <si>
    <t>160050C01-54</t>
  </si>
  <si>
    <t>160050C01-56</t>
  </si>
  <si>
    <t>160050C01-58</t>
  </si>
  <si>
    <t>160050C01-60</t>
  </si>
  <si>
    <t>160050C01-62</t>
  </si>
  <si>
    <t>160050C01-64</t>
  </si>
  <si>
    <t>160779C01-48</t>
  </si>
  <si>
    <t>160779C01-50</t>
  </si>
  <si>
    <t>160779C01-52</t>
  </si>
  <si>
    <t>160779C01-54</t>
  </si>
  <si>
    <t>160779C01-56</t>
  </si>
  <si>
    <t>160779C01-58</t>
  </si>
  <si>
    <t>160779C01-60</t>
  </si>
  <si>
    <t>161198C01-44</t>
  </si>
  <si>
    <t>161198C01-46</t>
  </si>
  <si>
    <t>161198C01-48</t>
  </si>
  <si>
    <t>161198C01-50</t>
  </si>
  <si>
    <t>161198C01-52</t>
  </si>
  <si>
    <t>161198C01-54</t>
  </si>
  <si>
    <t>161198C01-56</t>
  </si>
  <si>
    <t>161198C01-58</t>
  </si>
  <si>
    <t>161198C01-60</t>
  </si>
  <si>
    <t>161198C01-62</t>
  </si>
  <si>
    <t>161198C01-64</t>
  </si>
  <si>
    <t>161234C01-48</t>
  </si>
  <si>
    <t>161234C01-50</t>
  </si>
  <si>
    <t>161234C01-52</t>
  </si>
  <si>
    <t>161234C01-54</t>
  </si>
  <si>
    <t>161234C01-56</t>
  </si>
  <si>
    <t>161234C01-58</t>
  </si>
  <si>
    <t>161234C01-60</t>
  </si>
  <si>
    <t>162232C01-48</t>
  </si>
  <si>
    <t>162232C01-50</t>
  </si>
  <si>
    <t>162232C01-52</t>
  </si>
  <si>
    <t>162232C01-54</t>
  </si>
  <si>
    <t>162232C01-56</t>
  </si>
  <si>
    <t>162232C01-58</t>
  </si>
  <si>
    <t>162232C01-60</t>
  </si>
  <si>
    <t>162333C01-48</t>
  </si>
  <si>
    <t>162333C01-50</t>
  </si>
  <si>
    <t>162333C01-52</t>
  </si>
  <si>
    <t>162333C01-54</t>
  </si>
  <si>
    <t>162333C01-56</t>
  </si>
  <si>
    <t>162333C01-58</t>
  </si>
  <si>
    <t>162333C01-60</t>
  </si>
  <si>
    <t>162344C01-48</t>
  </si>
  <si>
    <t>162344C01-50</t>
  </si>
  <si>
    <t>162344C01-52</t>
  </si>
  <si>
    <t>162344C01-54</t>
  </si>
  <si>
    <t>162344C01-56</t>
  </si>
  <si>
    <t>162344C01-58</t>
  </si>
  <si>
    <t>162344C01-60</t>
  </si>
  <si>
    <t>162392C01-48</t>
  </si>
  <si>
    <t>162392C01-50</t>
  </si>
  <si>
    <t>162392C01-52</t>
  </si>
  <si>
    <t>162392C01-54</t>
  </si>
  <si>
    <t>162392C01-56</t>
  </si>
  <si>
    <t>162392C01-58</t>
  </si>
  <si>
    <t>162392C01-60</t>
  </si>
  <si>
    <t>162539C01-48</t>
  </si>
  <si>
    <t>162539C01-50</t>
  </si>
  <si>
    <t>162539C01-52</t>
  </si>
  <si>
    <t>162539C01-54</t>
  </si>
  <si>
    <t>162539C01-56</t>
  </si>
  <si>
    <t>162539C01-58</t>
  </si>
  <si>
    <t>162539C01-60</t>
  </si>
  <si>
    <t>162627C01-48</t>
  </si>
  <si>
    <t>162627C01-50</t>
  </si>
  <si>
    <t>162627C01-52</t>
  </si>
  <si>
    <t>162627C01-54</t>
  </si>
  <si>
    <t>162627C01-56</t>
  </si>
  <si>
    <t>162627C01-58</t>
  </si>
  <si>
    <t>162627C01-60</t>
  </si>
  <si>
    <t>162634C01-48</t>
  </si>
  <si>
    <t>162634C01-50</t>
  </si>
  <si>
    <t>162634C01-52</t>
  </si>
  <si>
    <t>162634C01-54</t>
  </si>
  <si>
    <t>162634C01-56</t>
  </si>
  <si>
    <t>162634C01-58</t>
  </si>
  <si>
    <t>162634C01-60</t>
  </si>
  <si>
    <t>162674C01-48</t>
  </si>
  <si>
    <t>162674C01-50</t>
  </si>
  <si>
    <t>162674C01-52</t>
  </si>
  <si>
    <t>162674C01-54</t>
  </si>
  <si>
    <t>162674C01-56</t>
  </si>
  <si>
    <t>162674C01-58</t>
  </si>
  <si>
    <t>162674C01-60</t>
  </si>
  <si>
    <t>162800C01-48</t>
  </si>
  <si>
    <t>162800C01-50</t>
  </si>
  <si>
    <t>162800C01-52</t>
  </si>
  <si>
    <t>162800C01-54</t>
  </si>
  <si>
    <t>162800C01-56</t>
  </si>
  <si>
    <t>162800C01-58</t>
  </si>
  <si>
    <t>162800C01-60</t>
  </si>
  <si>
    <t>162800C01-62</t>
  </si>
  <si>
    <t>162999C01-44</t>
  </si>
  <si>
    <t>162999C01-46</t>
  </si>
  <si>
    <t>162999C01-48</t>
  </si>
  <si>
    <t>162999C01-50</t>
  </si>
  <si>
    <t>162999C01-52</t>
  </si>
  <si>
    <t>162999C01-54</t>
  </si>
  <si>
    <t>162999C01-56</t>
  </si>
  <si>
    <t>162999C01-58</t>
  </si>
  <si>
    <t>162999C01-60</t>
  </si>
  <si>
    <t>162999C01-62</t>
  </si>
  <si>
    <t>162999C01-64</t>
  </si>
  <si>
    <t>163059C01-48</t>
  </si>
  <si>
    <t>163059C01-50</t>
  </si>
  <si>
    <t>163059C01-52</t>
  </si>
  <si>
    <t>163059C01-54</t>
  </si>
  <si>
    <t>163059C01-56</t>
  </si>
  <si>
    <t>163059C01-58</t>
  </si>
  <si>
    <t>163059C01-60</t>
  </si>
  <si>
    <t>163088C01-48</t>
  </si>
  <si>
    <t>163088C01-50</t>
  </si>
  <si>
    <t>163088C01-52</t>
  </si>
  <si>
    <t>163088C01-54</t>
  </si>
  <si>
    <t>163088C01-56</t>
  </si>
  <si>
    <t>163088C01-58</t>
  </si>
  <si>
    <t>163088C01-60</t>
  </si>
  <si>
    <t>163088C01-62</t>
  </si>
  <si>
    <t>163095C00-48</t>
  </si>
  <si>
    <t>163095C00-50</t>
  </si>
  <si>
    <t>163095C00-52</t>
  </si>
  <si>
    <t>163095C00-54</t>
  </si>
  <si>
    <t>163095C00-56</t>
  </si>
  <si>
    <t>163095C00-58</t>
  </si>
  <si>
    <t>163095C00-60</t>
  </si>
  <si>
    <t>163100C01-48</t>
  </si>
  <si>
    <t>163100C01-50</t>
  </si>
  <si>
    <t>163100C01-52</t>
  </si>
  <si>
    <t>163100C01-54</t>
  </si>
  <si>
    <t>163100C01-56</t>
  </si>
  <si>
    <t>163100C01-58</t>
  </si>
  <si>
    <t>163100C01-60</t>
  </si>
  <si>
    <t>163103C01-48</t>
  </si>
  <si>
    <t>163103C01-50</t>
  </si>
  <si>
    <t>163103C01-52</t>
  </si>
  <si>
    <t>163103C01-54</t>
  </si>
  <si>
    <t>163103C01-56</t>
  </si>
  <si>
    <t>163103C01-58</t>
  </si>
  <si>
    <t>163103C01-60</t>
  </si>
  <si>
    <t>163146C01-48</t>
  </si>
  <si>
    <t>163146C01-50</t>
  </si>
  <si>
    <t>163146C01-52</t>
  </si>
  <si>
    <t>163146C01-54</t>
  </si>
  <si>
    <t>163146C01-56</t>
  </si>
  <si>
    <t>163146C01-58</t>
  </si>
  <si>
    <t>163146C01-60</t>
  </si>
  <si>
    <t>163156C01-48</t>
  </si>
  <si>
    <t>163156C01-50</t>
  </si>
  <si>
    <t>163156C01-52</t>
  </si>
  <si>
    <t>163156C01-54</t>
  </si>
  <si>
    <t>163156C01-56</t>
  </si>
  <si>
    <t>163156C01-58</t>
  </si>
  <si>
    <t>163156C01-60</t>
  </si>
  <si>
    <t>163157C01-48</t>
  </si>
  <si>
    <t>163157C01-50</t>
  </si>
  <si>
    <t>163157C01-52</t>
  </si>
  <si>
    <t>163157C01-54</t>
  </si>
  <si>
    <t>163157C01-56</t>
  </si>
  <si>
    <t>163157C01-58</t>
  </si>
  <si>
    <t>163157C01-60</t>
  </si>
  <si>
    <t>163258C01-48</t>
  </si>
  <si>
    <t>163258C01-50</t>
  </si>
  <si>
    <t>163258C01-52</t>
  </si>
  <si>
    <t>163258C01-54</t>
  </si>
  <si>
    <t>163258C01-56</t>
  </si>
  <si>
    <t>163258C01-58</t>
  </si>
  <si>
    <t>163258C01-60</t>
  </si>
  <si>
    <t>163262C00-48</t>
  </si>
  <si>
    <t>163262C00-50</t>
  </si>
  <si>
    <t>163262C00-52</t>
  </si>
  <si>
    <t>163262C00-54</t>
  </si>
  <si>
    <t>163262C00-56</t>
  </si>
  <si>
    <t>163262C00-58</t>
  </si>
  <si>
    <t>163262C00-60</t>
  </si>
  <si>
    <t>163264C00-48</t>
  </si>
  <si>
    <t>163264C00-50</t>
  </si>
  <si>
    <t>163264C00-52</t>
  </si>
  <si>
    <t>163264C00-54</t>
  </si>
  <si>
    <t>163264C00-56</t>
  </si>
  <si>
    <t>163264C00-58</t>
  </si>
  <si>
    <t>163264C00-60</t>
  </si>
  <si>
    <t>163285C01-48</t>
  </si>
  <si>
    <t>163285C01-50</t>
  </si>
  <si>
    <t>163285C01-52</t>
  </si>
  <si>
    <t>163285C01-54</t>
  </si>
  <si>
    <t>163285C01-56</t>
  </si>
  <si>
    <t>163285C01-58</t>
  </si>
  <si>
    <t>163285C01-60</t>
  </si>
  <si>
    <t>163288C00-48</t>
  </si>
  <si>
    <t>163288C00-50</t>
  </si>
  <si>
    <t>163288C00-52</t>
  </si>
  <si>
    <t>163288C00-54</t>
  </si>
  <si>
    <t>163288C00-56</t>
  </si>
  <si>
    <t>163288C00-58</t>
  </si>
  <si>
    <t>163288C00-60</t>
  </si>
  <si>
    <t>163293C01-48</t>
  </si>
  <si>
    <t>163293C01-50</t>
  </si>
  <si>
    <t>163293C01-52</t>
  </si>
  <si>
    <t>163293C01-54</t>
  </si>
  <si>
    <t>163293C01-56</t>
  </si>
  <si>
    <t>163293C01-58</t>
  </si>
  <si>
    <t>163293C01-60</t>
  </si>
  <si>
    <t>163314C00-48</t>
  </si>
  <si>
    <t>163314C00-50</t>
  </si>
  <si>
    <t>163314C00-52</t>
  </si>
  <si>
    <t>163314C00-54</t>
  </si>
  <si>
    <t>163314C00-56</t>
  </si>
  <si>
    <t>163314C00-58</t>
  </si>
  <si>
    <t>163314C00-60</t>
  </si>
  <si>
    <t>163318C00-48</t>
  </si>
  <si>
    <t>163318C00-50</t>
  </si>
  <si>
    <t>163318C00-52</t>
  </si>
  <si>
    <t>163318C00-54</t>
  </si>
  <si>
    <t>163318C00-56</t>
  </si>
  <si>
    <t>163318C00-58</t>
  </si>
  <si>
    <t>163318C00-60</t>
  </si>
  <si>
    <t>163322C01-44</t>
  </si>
  <si>
    <t>163322C01-46</t>
  </si>
  <si>
    <t>163322C01-48</t>
  </si>
  <si>
    <t>163322C01-50</t>
  </si>
  <si>
    <t>163322C01-52</t>
  </si>
  <si>
    <t>163322C01-54</t>
  </si>
  <si>
    <t>163322C01-56</t>
  </si>
  <si>
    <t>163322C01-58</t>
  </si>
  <si>
    <t>163322C01-60</t>
  </si>
  <si>
    <t>163322C01-62</t>
  </si>
  <si>
    <t>163325C01-48</t>
  </si>
  <si>
    <t>163325C01-50</t>
  </si>
  <si>
    <t>163325C01-52</t>
  </si>
  <si>
    <t>163325C01-54</t>
  </si>
  <si>
    <t>163325C01-56</t>
  </si>
  <si>
    <t>163325C01-58</t>
  </si>
  <si>
    <t>163325C01-60</t>
  </si>
  <si>
    <t>163325C01-62</t>
  </si>
  <si>
    <t>163362C00-48</t>
  </si>
  <si>
    <t>163362C00-50</t>
  </si>
  <si>
    <t>163362C00-52</t>
  </si>
  <si>
    <t>163362C00-54</t>
  </si>
  <si>
    <t>163362C00-56</t>
  </si>
  <si>
    <t>163362C00-58</t>
  </si>
  <si>
    <t>163362C00-60</t>
  </si>
  <si>
    <t>163422C01-48</t>
  </si>
  <si>
    <t>163422C01-50</t>
  </si>
  <si>
    <t>163422C01-52</t>
  </si>
  <si>
    <t>163422C01-54</t>
  </si>
  <si>
    <t>163422C01-56</t>
  </si>
  <si>
    <t>163422C01-58</t>
  </si>
  <si>
    <t>163422C01-60</t>
  </si>
  <si>
    <t>163427C00-48</t>
  </si>
  <si>
    <t>163427C00-50</t>
  </si>
  <si>
    <t>163427C00-52</t>
  </si>
  <si>
    <t>163427C00-54</t>
  </si>
  <si>
    <t>163427C00-56</t>
  </si>
  <si>
    <t>163427C00-58</t>
  </si>
  <si>
    <t>163427C00-60</t>
  </si>
  <si>
    <t>163510C01-48</t>
  </si>
  <si>
    <t>163510C01-50</t>
  </si>
  <si>
    <t>163510C01-52</t>
  </si>
  <si>
    <t>163510C01-54</t>
  </si>
  <si>
    <t>163510C01-56</t>
  </si>
  <si>
    <t>163510C01-58</t>
  </si>
  <si>
    <t>163510C01-60</t>
  </si>
  <si>
    <t>163511C01-48</t>
  </si>
  <si>
    <t>163511C01-50</t>
  </si>
  <si>
    <t>163511C01-52</t>
  </si>
  <si>
    <t>163511C01-54</t>
  </si>
  <si>
    <t>163511C01-56</t>
  </si>
  <si>
    <t>163511C01-58</t>
  </si>
  <si>
    <t>163511C01-60</t>
  </si>
  <si>
    <t>163552C01-48</t>
  </si>
  <si>
    <t>163552C01-50</t>
  </si>
  <si>
    <t>163552C01-52</t>
  </si>
  <si>
    <t>163552C01-54</t>
  </si>
  <si>
    <t>163552C01-56</t>
  </si>
  <si>
    <t>163552C01-58</t>
  </si>
  <si>
    <t>163552C01-60</t>
  </si>
  <si>
    <t>163554C01-48</t>
  </si>
  <si>
    <t>163554C01-50</t>
  </si>
  <si>
    <t>163554C01-52</t>
  </si>
  <si>
    <t>163554C01-54</t>
  </si>
  <si>
    <t>163554C01-56</t>
  </si>
  <si>
    <t>163554C01-58</t>
  </si>
  <si>
    <t>163554C01-60</t>
  </si>
  <si>
    <t>163555C01-48</t>
  </si>
  <si>
    <t>163555C01-50</t>
  </si>
  <si>
    <t>163555C01-52</t>
  </si>
  <si>
    <t>163555C01-54</t>
  </si>
  <si>
    <t>163555C01-56</t>
  </si>
  <si>
    <t>163555C01-58</t>
  </si>
  <si>
    <t>163555C01-60</t>
  </si>
  <si>
    <t>163557C01-48</t>
  </si>
  <si>
    <t>163557C01-50</t>
  </si>
  <si>
    <t>163557C01-52</t>
  </si>
  <si>
    <t>163557C01-54</t>
  </si>
  <si>
    <t>163557C01-56</t>
  </si>
  <si>
    <t>163557C01-58</t>
  </si>
  <si>
    <t>163557C01-60</t>
  </si>
  <si>
    <t>163557C01-62</t>
  </si>
  <si>
    <t>163557C01-64</t>
  </si>
  <si>
    <t>163582C01-48</t>
  </si>
  <si>
    <t>163582C01-50</t>
  </si>
  <si>
    <t>163582C01-52</t>
  </si>
  <si>
    <t>163582C01-54</t>
  </si>
  <si>
    <t>163582C01-56</t>
  </si>
  <si>
    <t>163582C01-58</t>
  </si>
  <si>
    <t>163582C01-60</t>
  </si>
  <si>
    <t>163651C01-48</t>
  </si>
  <si>
    <t>163651C01-50</t>
  </si>
  <si>
    <t>163651C01-52</t>
  </si>
  <si>
    <t>163651C01-54</t>
  </si>
  <si>
    <t>163651C01-56</t>
  </si>
  <si>
    <t>163651C01-58</t>
  </si>
  <si>
    <t>163651C01-60</t>
  </si>
  <si>
    <t>163653C01-48</t>
  </si>
  <si>
    <t>163653C01-50</t>
  </si>
  <si>
    <t>163653C01-52</t>
  </si>
  <si>
    <t>163653C01-54</t>
  </si>
  <si>
    <t>163653C01-56</t>
  </si>
  <si>
    <t>163653C01-58</t>
  </si>
  <si>
    <t>163653C01-60</t>
  </si>
  <si>
    <t>163654C01-48</t>
  </si>
  <si>
    <t>163654C01-50</t>
  </si>
  <si>
    <t>163654C01-52</t>
  </si>
  <si>
    <t>163654C01-54</t>
  </si>
  <si>
    <t>163654C01-56</t>
  </si>
  <si>
    <t>163654C01-58</t>
  </si>
  <si>
    <t>163654C01-60</t>
  </si>
  <si>
    <t>163660C01-48</t>
  </si>
  <si>
    <t>163660C01-50</t>
  </si>
  <si>
    <t>163660C01-52</t>
  </si>
  <si>
    <t>163660C01-54</t>
  </si>
  <si>
    <t>163660C01-56</t>
  </si>
  <si>
    <t>163660C01-58</t>
  </si>
  <si>
    <t>163660C01-60</t>
  </si>
  <si>
    <t>163686C01-44</t>
  </si>
  <si>
    <t>163686C01-46</t>
  </si>
  <si>
    <t>163686C01-48</t>
  </si>
  <si>
    <t>163686C01-50</t>
  </si>
  <si>
    <t>163686C01-52</t>
  </si>
  <si>
    <t>163686C01-54</t>
  </si>
  <si>
    <t>163686C01-56</t>
  </si>
  <si>
    <t>163686C01-58</t>
  </si>
  <si>
    <t>163686C01-60</t>
  </si>
  <si>
    <t>163686C01-62</t>
  </si>
  <si>
    <t>163686C01-64</t>
  </si>
  <si>
    <t>163759C01-48</t>
  </si>
  <si>
    <t>163759C01-50</t>
  </si>
  <si>
    <t>163759C01-52</t>
  </si>
  <si>
    <t>163759C01-54</t>
  </si>
  <si>
    <t>163759C01-56</t>
  </si>
  <si>
    <t>163759C01-58</t>
  </si>
  <si>
    <t>163759C01-60</t>
  </si>
  <si>
    <t>163797C01-48</t>
  </si>
  <si>
    <t>163797C01-50</t>
  </si>
  <si>
    <t>163797C01-52</t>
  </si>
  <si>
    <t>163797C01-54</t>
  </si>
  <si>
    <t>163797C01-56</t>
  </si>
  <si>
    <t>163797C01-58</t>
  </si>
  <si>
    <t>163797C01-60</t>
  </si>
  <si>
    <t>163799C01-48</t>
  </si>
  <si>
    <t>163799C01-50</t>
  </si>
  <si>
    <t>163799C01-52</t>
  </si>
  <si>
    <t>163799C01-54</t>
  </si>
  <si>
    <t>163799C01-56</t>
  </si>
  <si>
    <t>163799C01-58</t>
  </si>
  <si>
    <t>163799C01-60</t>
  </si>
  <si>
    <t>163800C01-48</t>
  </si>
  <si>
    <t>163800C01-50</t>
  </si>
  <si>
    <t>163800C01-52</t>
  </si>
  <si>
    <t>163800C01-54</t>
  </si>
  <si>
    <t>163800C01-56</t>
  </si>
  <si>
    <t>163800C01-58</t>
  </si>
  <si>
    <t>163800C01-60</t>
  </si>
  <si>
    <t>163801C01-48</t>
  </si>
  <si>
    <t>163801C01-50</t>
  </si>
  <si>
    <t>163801C01-52</t>
  </si>
  <si>
    <t>163801C01-54</t>
  </si>
  <si>
    <t>163801C01-56</t>
  </si>
  <si>
    <t>163801C01-58</t>
  </si>
  <si>
    <t>163801C01-60</t>
  </si>
  <si>
    <t>163802C01-48</t>
  </si>
  <si>
    <t>163802C01-50</t>
  </si>
  <si>
    <t>163802C01-52</t>
  </si>
  <si>
    <t>163802C01-54</t>
  </si>
  <si>
    <t>163802C01-56</t>
  </si>
  <si>
    <t>163802C01-58</t>
  </si>
  <si>
    <t>163802C01-60</t>
  </si>
  <si>
    <t>163831C01-48</t>
  </si>
  <si>
    <t>163831C01-50</t>
  </si>
  <si>
    <t>163831C01-52</t>
  </si>
  <si>
    <t>163831C01-54</t>
  </si>
  <si>
    <t>163831C01-56</t>
  </si>
  <si>
    <t>163831C01-58</t>
  </si>
  <si>
    <t>163831C01-60</t>
  </si>
  <si>
    <t>163832C00-48</t>
  </si>
  <si>
    <t>163832C00-50</t>
  </si>
  <si>
    <t>163832C00-52</t>
  </si>
  <si>
    <t>163832C00-54</t>
  </si>
  <si>
    <t>163832C00-56</t>
  </si>
  <si>
    <t>163832C00-58</t>
  </si>
  <si>
    <t>163832C00-60</t>
  </si>
  <si>
    <t>163884C00-48</t>
  </si>
  <si>
    <t>163884C00-50</t>
  </si>
  <si>
    <t>163884C00-52</t>
  </si>
  <si>
    <t>163884C00-54</t>
  </si>
  <si>
    <t>163884C00-56</t>
  </si>
  <si>
    <t>163884C00-58</t>
  </si>
  <si>
    <t>163884C00-60</t>
  </si>
  <si>
    <t>163885C00-48</t>
  </si>
  <si>
    <t>163885C00-50</t>
  </si>
  <si>
    <t>163885C00-52</t>
  </si>
  <si>
    <t>163885C00-54</t>
  </si>
  <si>
    <t>163885C00-56</t>
  </si>
  <si>
    <t>163885C00-58</t>
  </si>
  <si>
    <t>163885C00-60</t>
  </si>
  <si>
    <t>163886C00-48</t>
  </si>
  <si>
    <t>163886C00-50</t>
  </si>
  <si>
    <t>163886C00-52</t>
  </si>
  <si>
    <t>163886C00-54</t>
  </si>
  <si>
    <t>163886C00-56</t>
  </si>
  <si>
    <t>163886C00-58</t>
  </si>
  <si>
    <t>163886C00-60</t>
  </si>
  <si>
    <t>163888C00-48</t>
  </si>
  <si>
    <t>163888C00-50</t>
  </si>
  <si>
    <t>163888C00-52</t>
  </si>
  <si>
    <t>163888C00-54</t>
  </si>
  <si>
    <t>163888C00-56</t>
  </si>
  <si>
    <t>163888C00-58</t>
  </si>
  <si>
    <t>163888C00-60</t>
  </si>
  <si>
    <t>163889C00-48</t>
  </si>
  <si>
    <t>163889C00-50</t>
  </si>
  <si>
    <t>163889C00-52</t>
  </si>
  <si>
    <t>163889C00-54</t>
  </si>
  <si>
    <t>163889C00-56</t>
  </si>
  <si>
    <t>163889C00-58</t>
  </si>
  <si>
    <t>163889C00-60</t>
  </si>
  <si>
    <t>163984C01-48</t>
  </si>
  <si>
    <t>163984C01-50</t>
  </si>
  <si>
    <t>163984C01-52</t>
  </si>
  <si>
    <t>163984C01-54</t>
  </si>
  <si>
    <t>163984C01-56</t>
  </si>
  <si>
    <t>163984C01-58</t>
  </si>
  <si>
    <t>163984C01-60</t>
  </si>
  <si>
    <t>163986C00-48</t>
  </si>
  <si>
    <t>163986C00-50</t>
  </si>
  <si>
    <t>163986C00-52</t>
  </si>
  <si>
    <t>163986C00-54</t>
  </si>
  <si>
    <t>163986C00-56</t>
  </si>
  <si>
    <t>163986C00-58</t>
  </si>
  <si>
    <t>163986C00-60</t>
  </si>
  <si>
    <t>163988C00-48</t>
  </si>
  <si>
    <t>163988C00-50</t>
  </si>
  <si>
    <t>163988C00-52</t>
  </si>
  <si>
    <t>163988C00-54</t>
  </si>
  <si>
    <t>163988C00-56</t>
  </si>
  <si>
    <t>163988C00-58</t>
  </si>
  <si>
    <t>163988C00-60</t>
  </si>
  <si>
    <t>164135C01-48</t>
  </si>
  <si>
    <t>164135C01-50</t>
  </si>
  <si>
    <t>164135C01-52</t>
  </si>
  <si>
    <t>164135C01-54</t>
  </si>
  <si>
    <t>164135C01-56</t>
  </si>
  <si>
    <t>164135C01-58</t>
  </si>
  <si>
    <t>164135C01-60</t>
  </si>
  <si>
    <t>164211C01-48</t>
  </si>
  <si>
    <t>164211C01-50</t>
  </si>
  <si>
    <t>164211C01-52</t>
  </si>
  <si>
    <t>164211C01-54</t>
  </si>
  <si>
    <t>164211C01-56</t>
  </si>
  <si>
    <t>164211C01-58</t>
  </si>
  <si>
    <t>164211C01-60</t>
  </si>
  <si>
    <t>164222C00-48</t>
  </si>
  <si>
    <t>164222C00-50</t>
  </si>
  <si>
    <t>164222C00-52</t>
  </si>
  <si>
    <t>164222C00-54</t>
  </si>
  <si>
    <t>164222C00-56</t>
  </si>
  <si>
    <t>164222C00-58</t>
  </si>
  <si>
    <t>164222C00-60</t>
  </si>
  <si>
    <t>164270C01-48</t>
  </si>
  <si>
    <t>164270C01-50</t>
  </si>
  <si>
    <t>164270C01-52</t>
  </si>
  <si>
    <t>164270C01-54</t>
  </si>
  <si>
    <t>164270C01-56</t>
  </si>
  <si>
    <t>164270C01-58</t>
  </si>
  <si>
    <t>164270C01-60</t>
  </si>
  <si>
    <t>166574C01-48</t>
  </si>
  <si>
    <t>166574C01-50</t>
  </si>
  <si>
    <t>166574C01-52</t>
  </si>
  <si>
    <t>166574C01-54</t>
  </si>
  <si>
    <t>166574C01-56</t>
  </si>
  <si>
    <t>166574C01-58</t>
  </si>
  <si>
    <t>166574C01-60</t>
  </si>
  <si>
    <t>167736C01-48</t>
  </si>
  <si>
    <t>167736C01-50</t>
  </si>
  <si>
    <t>167736C01-52</t>
  </si>
  <si>
    <t>167736C01-54</t>
  </si>
  <si>
    <t>167736C01-56</t>
  </si>
  <si>
    <t>167736C01-58</t>
  </si>
  <si>
    <t>167736C01-60</t>
  </si>
  <si>
    <t>167736C01-62</t>
  </si>
  <si>
    <t>168289C01-48</t>
  </si>
  <si>
    <t>168289C01-50</t>
  </si>
  <si>
    <t>168289C01-52</t>
  </si>
  <si>
    <t>168289C01-54</t>
  </si>
  <si>
    <t>168289C01-56</t>
  </si>
  <si>
    <t>168289C01-58</t>
  </si>
  <si>
    <t>168289C01-60</t>
  </si>
  <si>
    <t>168289C02-48</t>
  </si>
  <si>
    <t>168289C02-50</t>
  </si>
  <si>
    <t>168289C02-52</t>
  </si>
  <si>
    <t>168289C02-54</t>
  </si>
  <si>
    <t>168289C02-56</t>
  </si>
  <si>
    <t>168289C02-58</t>
  </si>
  <si>
    <t>168289C02-60</t>
  </si>
  <si>
    <t>168421C01-44</t>
  </si>
  <si>
    <t>168421C01-46</t>
  </si>
  <si>
    <t>168421C01-48</t>
  </si>
  <si>
    <t>168421C01-50</t>
  </si>
  <si>
    <t>168421C01-52</t>
  </si>
  <si>
    <t>168421C01-54</t>
  </si>
  <si>
    <t>168421C01-56</t>
  </si>
  <si>
    <t>168421C01-58</t>
  </si>
  <si>
    <t>168421C01-60</t>
  </si>
  <si>
    <t>168421C01-62</t>
  </si>
  <si>
    <t>168421C01-64</t>
  </si>
  <si>
    <t>168421C02-48</t>
  </si>
  <si>
    <t>168421C02-50</t>
  </si>
  <si>
    <t>168421C02-52</t>
  </si>
  <si>
    <t>168421C02-54</t>
  </si>
  <si>
    <t>168421C02-56</t>
  </si>
  <si>
    <t>168421C02-58</t>
  </si>
  <si>
    <t>168421C02-60</t>
  </si>
  <si>
    <t>168655C01-48</t>
  </si>
  <si>
    <t>168655C01-50</t>
  </si>
  <si>
    <t>168655C01-52</t>
  </si>
  <si>
    <t>168655C01-54</t>
  </si>
  <si>
    <t>168655C01-56</t>
  </si>
  <si>
    <t>168655C01-58</t>
  </si>
  <si>
    <t>168655C01-60</t>
  </si>
  <si>
    <t>168655C01-62</t>
  </si>
  <si>
    <t>168742C00-48</t>
  </si>
  <si>
    <t>168742C00-50</t>
  </si>
  <si>
    <t>168742C00-52</t>
  </si>
  <si>
    <t>168742C00-54</t>
  </si>
  <si>
    <t>168742C00-56</t>
  </si>
  <si>
    <t>168742C00-58</t>
  </si>
  <si>
    <t>168742C00-60</t>
  </si>
  <si>
    <t>168742C00-62</t>
  </si>
  <si>
    <t>168758C01-48</t>
  </si>
  <si>
    <t>168758C01-50</t>
  </si>
  <si>
    <t>168758C01-52</t>
  </si>
  <si>
    <t>168758C01-54</t>
  </si>
  <si>
    <t>168758C01-56</t>
  </si>
  <si>
    <t>168758C01-58</t>
  </si>
  <si>
    <t>168758C01-60</t>
  </si>
  <si>
    <t>168758C01-62</t>
  </si>
  <si>
    <t>168898C00-48</t>
  </si>
  <si>
    <t>168898C00-50</t>
  </si>
  <si>
    <t>168898C00-52</t>
  </si>
  <si>
    <t>168898C00-54</t>
  </si>
  <si>
    <t>168898C00-56</t>
  </si>
  <si>
    <t>168898C00-58</t>
  </si>
  <si>
    <t>168898C00-60</t>
  </si>
  <si>
    <t>169057C01-48</t>
  </si>
  <si>
    <t>169057C01-50</t>
  </si>
  <si>
    <t>169057C01-52</t>
  </si>
  <si>
    <t>169057C01-54</t>
  </si>
  <si>
    <t>169057C01-56</t>
  </si>
  <si>
    <t>169057C01-58</t>
  </si>
  <si>
    <t>169057C01-60</t>
  </si>
  <si>
    <t>169302C01-48</t>
  </si>
  <si>
    <t>169302C01-50</t>
  </si>
  <si>
    <t>169302C01-52</t>
  </si>
  <si>
    <t>169302C01-54</t>
  </si>
  <si>
    <t>169302C01-56</t>
  </si>
  <si>
    <t>169302C01-58</t>
  </si>
  <si>
    <t>169302C01-60</t>
  </si>
  <si>
    <t>169679C01-48</t>
  </si>
  <si>
    <t>169679C01-50</t>
  </si>
  <si>
    <t>169679C01-52</t>
  </si>
  <si>
    <t>169679C01-54</t>
  </si>
  <si>
    <t>169679C01-56</t>
  </si>
  <si>
    <t>169679C01-58</t>
  </si>
  <si>
    <t>169679C01-60</t>
  </si>
  <si>
    <t>169679C01-62</t>
  </si>
  <si>
    <t>180050C01-48</t>
  </si>
  <si>
    <t>180050C01-50</t>
  </si>
  <si>
    <t>180050C01-52</t>
  </si>
  <si>
    <t>180050C01-54</t>
  </si>
  <si>
    <t>180050C01-56</t>
  </si>
  <si>
    <t>180050C01-58</t>
  </si>
  <si>
    <t>180050C01-60</t>
  </si>
  <si>
    <t>180050C02-48</t>
  </si>
  <si>
    <t>180050C02-50</t>
  </si>
  <si>
    <t>180050C02-52</t>
  </si>
  <si>
    <t>180050C02-54</t>
  </si>
  <si>
    <t>180050C02-56</t>
  </si>
  <si>
    <t>180050C02-58</t>
  </si>
  <si>
    <t>180050C02-60</t>
  </si>
  <si>
    <t>180892CZ-48</t>
  </si>
  <si>
    <t>180892CZ-50</t>
  </si>
  <si>
    <t>180892CZ-52</t>
  </si>
  <si>
    <t>180892CZ-54</t>
  </si>
  <si>
    <t>180892CZ-56</t>
  </si>
  <si>
    <t>180892CZ-58</t>
  </si>
  <si>
    <t>180892CZ-60</t>
  </si>
  <si>
    <t>180919CZ-48</t>
  </si>
  <si>
    <t>180919CZ-50</t>
  </si>
  <si>
    <t>180919CZ-52</t>
  </si>
  <si>
    <t>180919CZ-54</t>
  </si>
  <si>
    <t>180919CZ-56</t>
  </si>
  <si>
    <t>180919CZ-58</t>
  </si>
  <si>
    <t>180919CZ-60</t>
  </si>
  <si>
    <t>180919CZ-62</t>
  </si>
  <si>
    <t>180963CZ-48</t>
  </si>
  <si>
    <t>180963CZ-50</t>
  </si>
  <si>
    <t>180963CZ-52</t>
  </si>
  <si>
    <t>180963CZ-54</t>
  </si>
  <si>
    <t>180963CZ-56</t>
  </si>
  <si>
    <t>180963CZ-58</t>
  </si>
  <si>
    <t>180963CZ-60</t>
  </si>
  <si>
    <t>182392C01-48</t>
  </si>
  <si>
    <t>182392C01-50</t>
  </si>
  <si>
    <t>182392C01-52</t>
  </si>
  <si>
    <t>182392C01-54</t>
  </si>
  <si>
    <t>182392C01-56</t>
  </si>
  <si>
    <t>182392C01-58</t>
  </si>
  <si>
    <t>182392C01-60</t>
  </si>
  <si>
    <t>182495C01-48</t>
  </si>
  <si>
    <t>182495C01-50</t>
  </si>
  <si>
    <t>182495C01-52</t>
  </si>
  <si>
    <t>182495C01-54</t>
  </si>
  <si>
    <t>182495C01-56</t>
  </si>
  <si>
    <t>182495C01-58</t>
  </si>
  <si>
    <t>182495C01-60</t>
  </si>
  <si>
    <t>182528C01-46</t>
  </si>
  <si>
    <t>182528C01-48</t>
  </si>
  <si>
    <t>182528C01-50</t>
  </si>
  <si>
    <t>182528C01-52</t>
  </si>
  <si>
    <t>182528C01-54</t>
  </si>
  <si>
    <t>182528C01-56</t>
  </si>
  <si>
    <t>182528C01-58</t>
  </si>
  <si>
    <t>182528C01-60</t>
  </si>
  <si>
    <t>182539C01-48</t>
  </si>
  <si>
    <t>182539C01-50</t>
  </si>
  <si>
    <t>182539C01-52</t>
  </si>
  <si>
    <t>182539C01-54</t>
  </si>
  <si>
    <t>182539C01-56</t>
  </si>
  <si>
    <t>182539C01-58</t>
  </si>
  <si>
    <t>182539C01-60</t>
  </si>
  <si>
    <t>182629C01-48</t>
  </si>
  <si>
    <t>182629C01-50</t>
  </si>
  <si>
    <t>182629C01-52</t>
  </si>
  <si>
    <t>182629C01-54</t>
  </si>
  <si>
    <t>182629C01-56</t>
  </si>
  <si>
    <t>182629C01-58</t>
  </si>
  <si>
    <t>182629C01-60</t>
  </si>
  <si>
    <t>182773C01-48</t>
  </si>
  <si>
    <t>182773C01-50</t>
  </si>
  <si>
    <t>182773C01-52</t>
  </si>
  <si>
    <t>182773C01-54</t>
  </si>
  <si>
    <t>182773C01-56</t>
  </si>
  <si>
    <t>182773C01-58</t>
  </si>
  <si>
    <t>182773C01-60</t>
  </si>
  <si>
    <t>182835C01-48</t>
  </si>
  <si>
    <t>182835C01-50</t>
  </si>
  <si>
    <t>182835C01-52</t>
  </si>
  <si>
    <t>182835C01-54</t>
  </si>
  <si>
    <t>182835C01-56</t>
  </si>
  <si>
    <t>182835C01-58</t>
  </si>
  <si>
    <t>182835C01-60</t>
  </si>
  <si>
    <t>182999C01-48</t>
  </si>
  <si>
    <t>182999C01-50</t>
  </si>
  <si>
    <t>182999C01-52</t>
  </si>
  <si>
    <t>182999C01-54</t>
  </si>
  <si>
    <t>182999C01-56</t>
  </si>
  <si>
    <t>182999C01-58</t>
  </si>
  <si>
    <t>182999C01-60</t>
  </si>
  <si>
    <t>183021C01-48</t>
  </si>
  <si>
    <t>183021C01-50</t>
  </si>
  <si>
    <t>183021C01-52</t>
  </si>
  <si>
    <t>183021C01-54</t>
  </si>
  <si>
    <t>183021C01-56</t>
  </si>
  <si>
    <t>183021C01-58</t>
  </si>
  <si>
    <t>183021C01-60</t>
  </si>
  <si>
    <t>183095C00-48</t>
  </si>
  <si>
    <t>183095C00-50</t>
  </si>
  <si>
    <t>183095C00-52</t>
  </si>
  <si>
    <t>183095C00-54</t>
  </si>
  <si>
    <t>183095C00-56</t>
  </si>
  <si>
    <t>183095C00-58</t>
  </si>
  <si>
    <t>183095C00-60</t>
  </si>
  <si>
    <t>183100C01-48</t>
  </si>
  <si>
    <t>183100C01-50</t>
  </si>
  <si>
    <t>183100C01-52</t>
  </si>
  <si>
    <t>183100C01-54</t>
  </si>
  <si>
    <t>183100C01-56</t>
  </si>
  <si>
    <t>183100C01-58</t>
  </si>
  <si>
    <t>183100C01-60</t>
  </si>
  <si>
    <t>186251CZ-48</t>
  </si>
  <si>
    <t>186251CZ-50</t>
  </si>
  <si>
    <t>186251CZ-52</t>
  </si>
  <si>
    <t>186251CZ-54</t>
  </si>
  <si>
    <t>186251CZ-56</t>
  </si>
  <si>
    <t>186251CZ-58</t>
  </si>
  <si>
    <t>186251CZ-60</t>
  </si>
  <si>
    <t>186316C02-48</t>
  </si>
  <si>
    <t>186316C02-50</t>
  </si>
  <si>
    <t>186316C02-52</t>
  </si>
  <si>
    <t>186316C02-54</t>
  </si>
  <si>
    <t>186316C02-56</t>
  </si>
  <si>
    <t>186316C02-58</t>
  </si>
  <si>
    <t>186316C02-60</t>
  </si>
  <si>
    <t>186316C02-62</t>
  </si>
  <si>
    <t>186316CZ-48</t>
  </si>
  <si>
    <t>186316CZ-50</t>
  </si>
  <si>
    <t>186316CZ-52</t>
  </si>
  <si>
    <t>186316CZ-54</t>
  </si>
  <si>
    <t>186316CZ-56</t>
  </si>
  <si>
    <t>186316CZ-58</t>
  </si>
  <si>
    <t>186316CZ-60</t>
  </si>
  <si>
    <t>187736CZ-48</t>
  </si>
  <si>
    <t>187736CZ-50</t>
  </si>
  <si>
    <t>187736CZ-52</t>
  </si>
  <si>
    <t>187736CZ-54</t>
  </si>
  <si>
    <t>187736CZ-56</t>
  </si>
  <si>
    <t>187736CZ-58</t>
  </si>
  <si>
    <t>187736CZ-60</t>
  </si>
  <si>
    <t>187736CZ-62</t>
  </si>
  <si>
    <t>188289C01-48</t>
  </si>
  <si>
    <t>188289C01-50</t>
  </si>
  <si>
    <t>188289C01-52</t>
  </si>
  <si>
    <t>188289C01-54</t>
  </si>
  <si>
    <t>188289C01-56</t>
  </si>
  <si>
    <t>188289C01-58</t>
  </si>
  <si>
    <t>188289C01-60</t>
  </si>
  <si>
    <t>188421C01-48</t>
  </si>
  <si>
    <t>188421C01-50</t>
  </si>
  <si>
    <t>188421C01-52</t>
  </si>
  <si>
    <t>188421C01-54</t>
  </si>
  <si>
    <t>188421C01-56</t>
  </si>
  <si>
    <t>188421C01-58</t>
  </si>
  <si>
    <t>188421C01-60</t>
  </si>
  <si>
    <t>188421C02-44</t>
  </si>
  <si>
    <t>188421C02-46</t>
  </si>
  <si>
    <t>188421C02-48</t>
  </si>
  <si>
    <t>188421C02-50</t>
  </si>
  <si>
    <t>188421C02-52</t>
  </si>
  <si>
    <t>188421C02-54</t>
  </si>
  <si>
    <t>188421C02-56</t>
  </si>
  <si>
    <t>188421C02-58</t>
  </si>
  <si>
    <t>188421C02-60</t>
  </si>
  <si>
    <t>188421C02-62</t>
  </si>
  <si>
    <t>188421C02-64</t>
  </si>
  <si>
    <t>188421C03-48</t>
  </si>
  <si>
    <t>188421C03-50</t>
  </si>
  <si>
    <t>188421C03-52</t>
  </si>
  <si>
    <t>188421C03-54</t>
  </si>
  <si>
    <t>188421C03-56</t>
  </si>
  <si>
    <t>188421C03-58</t>
  </si>
  <si>
    <t>188421C03-60</t>
  </si>
  <si>
    <t>188421C04-44</t>
  </si>
  <si>
    <t>188421C04-46</t>
  </si>
  <si>
    <t>188421C04-48</t>
  </si>
  <si>
    <t>188421C04-50</t>
  </si>
  <si>
    <t>188421C04-52</t>
  </si>
  <si>
    <t>188421C04-54</t>
  </si>
  <si>
    <t>188421C04-56</t>
  </si>
  <si>
    <t>188421C04-58</t>
  </si>
  <si>
    <t>188421C04-60</t>
  </si>
  <si>
    <t>188421C04-62</t>
  </si>
  <si>
    <t>188421C04-64</t>
  </si>
  <si>
    <t>188862C01-48</t>
  </si>
  <si>
    <t>188862C01-50</t>
  </si>
  <si>
    <t>188862C01-52</t>
  </si>
  <si>
    <t>188862C01-54</t>
  </si>
  <si>
    <t>188862C01-56</t>
  </si>
  <si>
    <t>188862C01-58</t>
  </si>
  <si>
    <t>188862C01-60</t>
  </si>
  <si>
    <t>189057C01-48</t>
  </si>
  <si>
    <t>189057C01-50</t>
  </si>
  <si>
    <t>189057C01-52</t>
  </si>
  <si>
    <t>189057C01-54</t>
  </si>
  <si>
    <t>189057C01-56</t>
  </si>
  <si>
    <t>189057C01-58</t>
  </si>
  <si>
    <t>189057C01-60</t>
  </si>
  <si>
    <t>189302C01-48</t>
  </si>
  <si>
    <t>189302C01-50</t>
  </si>
  <si>
    <t>189302C01-52</t>
  </si>
  <si>
    <t>189302C01-54</t>
  </si>
  <si>
    <t>189302C01-56</t>
  </si>
  <si>
    <t>189302C01-58</t>
  </si>
  <si>
    <t>189302C01-60</t>
  </si>
  <si>
    <t>189655C01-48</t>
  </si>
  <si>
    <t>189655C01-50</t>
  </si>
  <si>
    <t>189655C01-52</t>
  </si>
  <si>
    <t>189655C01-54</t>
  </si>
  <si>
    <t>189655C01-56</t>
  </si>
  <si>
    <t>189655C01-58</t>
  </si>
  <si>
    <t>189655C01-60</t>
  </si>
  <si>
    <t>189655C01-62</t>
  </si>
  <si>
    <t>189679C01-46</t>
  </si>
  <si>
    <t>189679C01-48</t>
  </si>
  <si>
    <t>189679C01-50</t>
  </si>
  <si>
    <t>189679C01-52</t>
  </si>
  <si>
    <t>189679C01-54</t>
  </si>
  <si>
    <t>189679C01-56</t>
  </si>
  <si>
    <t>189679C01-58</t>
  </si>
  <si>
    <t>189679C01-60</t>
  </si>
  <si>
    <t>190017C01-48</t>
  </si>
  <si>
    <t>190017C01-50</t>
  </si>
  <si>
    <t>190017C01-52</t>
  </si>
  <si>
    <t>190017C01-54</t>
  </si>
  <si>
    <t>190017C01-56</t>
  </si>
  <si>
    <t>190017C01-58</t>
  </si>
  <si>
    <t>190017C01-60</t>
  </si>
  <si>
    <t>190026C01-48</t>
  </si>
  <si>
    <t>190026C01-50</t>
  </si>
  <si>
    <t>190026C01-52</t>
  </si>
  <si>
    <t>190026C01-54</t>
  </si>
  <si>
    <t>190026C01-56</t>
  </si>
  <si>
    <t>190026C01-58</t>
  </si>
  <si>
    <t>190026C01-60</t>
  </si>
  <si>
    <t>190029C00-48</t>
  </si>
  <si>
    <t>190029C00-50</t>
  </si>
  <si>
    <t>190029C00-52</t>
  </si>
  <si>
    <t>190029C00-54</t>
  </si>
  <si>
    <t>190029C00-56</t>
  </si>
  <si>
    <t>190029C00-58</t>
  </si>
  <si>
    <t>190029C00-60</t>
  </si>
  <si>
    <t>190050C01-44</t>
  </si>
  <si>
    <t>190050C01-46</t>
  </si>
  <si>
    <t>190050C01-48</t>
  </si>
  <si>
    <t>190050C01-50</t>
  </si>
  <si>
    <t>190050C01-52</t>
  </si>
  <si>
    <t>190050C01-54</t>
  </si>
  <si>
    <t>190050C01-56</t>
  </si>
  <si>
    <t>190050C01-58</t>
  </si>
  <si>
    <t>190050C01-60</t>
  </si>
  <si>
    <t>190050C01-62</t>
  </si>
  <si>
    <t>190050C01-64</t>
  </si>
  <si>
    <t>190050C02-48</t>
  </si>
  <si>
    <t>190050C02-50</t>
  </si>
  <si>
    <t>190050C02-52</t>
  </si>
  <si>
    <t>190050C02-54</t>
  </si>
  <si>
    <t>190050C02-56</t>
  </si>
  <si>
    <t>190050C02-58</t>
  </si>
  <si>
    <t>190050C02-60</t>
  </si>
  <si>
    <t>190052C01-48</t>
  </si>
  <si>
    <t>190052C01-50</t>
  </si>
  <si>
    <t>190052C01-52</t>
  </si>
  <si>
    <t>190052C01-54</t>
  </si>
  <si>
    <t>190052C01-56</t>
  </si>
  <si>
    <t>190052C01-58</t>
  </si>
  <si>
    <t>190052C01-60</t>
  </si>
  <si>
    <t>190056C01-48</t>
  </si>
  <si>
    <t>190056C01-50</t>
  </si>
  <si>
    <t>190056C01-52</t>
  </si>
  <si>
    <t>190056C01-54</t>
  </si>
  <si>
    <t>190056C01-56</t>
  </si>
  <si>
    <t>190056C01-58</t>
  </si>
  <si>
    <t>190056C01-60</t>
  </si>
  <si>
    <t>190074C01-48</t>
  </si>
  <si>
    <t>190074C01-50</t>
  </si>
  <si>
    <t>190074C01-52</t>
  </si>
  <si>
    <t>190074C01-54</t>
  </si>
  <si>
    <t>190074C01-56</t>
  </si>
  <si>
    <t>190074C01-58</t>
  </si>
  <si>
    <t>190074C01-60</t>
  </si>
  <si>
    <t>190880CZ-48</t>
  </si>
  <si>
    <t>190880CZ-50</t>
  </si>
  <si>
    <t>190880CZ-52</t>
  </si>
  <si>
    <t>190880CZ-54</t>
  </si>
  <si>
    <t>190880CZ-56</t>
  </si>
  <si>
    <t>190880CZ-58</t>
  </si>
  <si>
    <t>190880CZ-60</t>
  </si>
  <si>
    <t>190892CZ-48</t>
  </si>
  <si>
    <t>190892CZ-50</t>
  </si>
  <si>
    <t>190892CZ-52</t>
  </si>
  <si>
    <t>190892CZ-54</t>
  </si>
  <si>
    <t>190892CZ-56</t>
  </si>
  <si>
    <t>190892CZ-58</t>
  </si>
  <si>
    <t>190892CZ-60</t>
  </si>
  <si>
    <t>190919CZ-48</t>
  </si>
  <si>
    <t>190919CZ-50</t>
  </si>
  <si>
    <t>190919CZ-52</t>
  </si>
  <si>
    <t>190919CZ-54</t>
  </si>
  <si>
    <t>190919CZ-56</t>
  </si>
  <si>
    <t>190919CZ-58</t>
  </si>
  <si>
    <t>190919CZ-60</t>
  </si>
  <si>
    <t>190919CZ-62</t>
  </si>
  <si>
    <t>190934CZ-48</t>
  </si>
  <si>
    <t>190934CZ-50</t>
  </si>
  <si>
    <t>190934CZ-52</t>
  </si>
  <si>
    <t>190934CZ-54</t>
  </si>
  <si>
    <t>190934CZ-56</t>
  </si>
  <si>
    <t>190934CZ-58</t>
  </si>
  <si>
    <t>190934CZ-60</t>
  </si>
  <si>
    <t>190945CZ-48</t>
  </si>
  <si>
    <t>190945CZ-50</t>
  </si>
  <si>
    <t>190945CZ-52</t>
  </si>
  <si>
    <t>190945CZ-54</t>
  </si>
  <si>
    <t>190945CZ-56</t>
  </si>
  <si>
    <t>190945CZ-58</t>
  </si>
  <si>
    <t>190945CZ-60</t>
  </si>
  <si>
    <t>190963CZ-48</t>
  </si>
  <si>
    <t>190963CZ-50</t>
  </si>
  <si>
    <t>190963CZ-52</t>
  </si>
  <si>
    <t>190963CZ-54</t>
  </si>
  <si>
    <t>190963CZ-56</t>
  </si>
  <si>
    <t>190963CZ-58</t>
  </si>
  <si>
    <t>190963CZ-60</t>
  </si>
  <si>
    <t>190980-48</t>
  </si>
  <si>
    <t>190980-50</t>
  </si>
  <si>
    <t>190980-52</t>
  </si>
  <si>
    <t>190980-54</t>
  </si>
  <si>
    <t>190980-56</t>
  </si>
  <si>
    <t>190980-58</t>
  </si>
  <si>
    <t>190980-60</t>
  </si>
  <si>
    <t>191023CZ-48</t>
  </si>
  <si>
    <t>191023CZ-50</t>
  </si>
  <si>
    <t>191023CZ-52</t>
  </si>
  <si>
    <t>191023CZ-54</t>
  </si>
  <si>
    <t>191023CZ-56</t>
  </si>
  <si>
    <t>191023CZ-58</t>
  </si>
  <si>
    <t>191023CZ-60</t>
  </si>
  <si>
    <t>191149C01-48</t>
  </si>
  <si>
    <t>191149C01-50</t>
  </si>
  <si>
    <t>191149C01-52</t>
  </si>
  <si>
    <t>191149C01-54</t>
  </si>
  <si>
    <t>191149C01-56</t>
  </si>
  <si>
    <t>191149C01-58</t>
  </si>
  <si>
    <t>191149C01-60</t>
  </si>
  <si>
    <t>191165C01-48</t>
  </si>
  <si>
    <t>191165C01-50</t>
  </si>
  <si>
    <t>191165C01-52</t>
  </si>
  <si>
    <t>191165C01-54</t>
  </si>
  <si>
    <t>191165C01-56</t>
  </si>
  <si>
    <t>191165C01-58</t>
  </si>
  <si>
    <t>191165C01-60</t>
  </si>
  <si>
    <t>191198C01-44</t>
  </si>
  <si>
    <t>191198C01-46</t>
  </si>
  <si>
    <t>191198C01-48</t>
  </si>
  <si>
    <t>191198C01-50</t>
  </si>
  <si>
    <t>191198C01-52</t>
  </si>
  <si>
    <t>191198C01-54</t>
  </si>
  <si>
    <t>191198C01-56</t>
  </si>
  <si>
    <t>191198C01-58</t>
  </si>
  <si>
    <t>191198C01-60</t>
  </si>
  <si>
    <t>191198C01-62</t>
  </si>
  <si>
    <t>191198C01-64</t>
  </si>
  <si>
    <t>192232C01-48</t>
  </si>
  <si>
    <t>192232C01-50</t>
  </si>
  <si>
    <t>192232C01-52</t>
  </si>
  <si>
    <t>192232C01-54</t>
  </si>
  <si>
    <t>192232C01-56</t>
  </si>
  <si>
    <t>192232C01-58</t>
  </si>
  <si>
    <t>192232C01-60</t>
  </si>
  <si>
    <t>192233C01-48</t>
  </si>
  <si>
    <t>192233C01-50</t>
  </si>
  <si>
    <t>192233C01-52</t>
  </si>
  <si>
    <t>192233C01-54</t>
  </si>
  <si>
    <t>192233C01-56</t>
  </si>
  <si>
    <t>192233C01-58</t>
  </si>
  <si>
    <t>192233C01-60</t>
  </si>
  <si>
    <t>192312C01-48</t>
  </si>
  <si>
    <t>192312C01-50</t>
  </si>
  <si>
    <t>192312C01-52</t>
  </si>
  <si>
    <t>192312C01-54</t>
  </si>
  <si>
    <t>192312C01-56</t>
  </si>
  <si>
    <t>192312C01-58</t>
  </si>
  <si>
    <t>192312C01-60</t>
  </si>
  <si>
    <t>192344C01-48</t>
  </si>
  <si>
    <t>192344C01-50</t>
  </si>
  <si>
    <t>192344C01-52</t>
  </si>
  <si>
    <t>192344C01-54</t>
  </si>
  <si>
    <t>192344C01-56</t>
  </si>
  <si>
    <t>192344C01-58</t>
  </si>
  <si>
    <t>192344C01-60</t>
  </si>
  <si>
    <t>192365C01-48</t>
  </si>
  <si>
    <t>192365C01-50</t>
  </si>
  <si>
    <t>192365C01-52</t>
  </si>
  <si>
    <t>192365C01-54</t>
  </si>
  <si>
    <t>192365C01-56</t>
  </si>
  <si>
    <t>192365C01-58</t>
  </si>
  <si>
    <t>192365C01-60</t>
  </si>
  <si>
    <t>192389C01-48</t>
  </si>
  <si>
    <t>192389C01-50</t>
  </si>
  <si>
    <t>192389C01-52</t>
  </si>
  <si>
    <t>192389C01-54</t>
  </si>
  <si>
    <t>192389C01-56</t>
  </si>
  <si>
    <t>192389C01-58</t>
  </si>
  <si>
    <t>192389C01-60</t>
  </si>
  <si>
    <t>192390C01-48</t>
  </si>
  <si>
    <t>192390C01-50</t>
  </si>
  <si>
    <t>192390C01-52</t>
  </si>
  <si>
    <t>192390C01-54</t>
  </si>
  <si>
    <t>192390C01-56</t>
  </si>
  <si>
    <t>192390C01-58</t>
  </si>
  <si>
    <t>192390C01-60</t>
  </si>
  <si>
    <t>192391C01-48</t>
  </si>
  <si>
    <t>192391C01-50</t>
  </si>
  <si>
    <t>192391C01-52</t>
  </si>
  <si>
    <t>192391C01-54</t>
  </si>
  <si>
    <t>192391C01-56</t>
  </si>
  <si>
    <t>192391C01-58</t>
  </si>
  <si>
    <t>192391C01-60</t>
  </si>
  <si>
    <t>192392C01-48</t>
  </si>
  <si>
    <t>192392C01-50</t>
  </si>
  <si>
    <t>192392C01-52</t>
  </si>
  <si>
    <t>192392C01-54</t>
  </si>
  <si>
    <t>192392C01-56</t>
  </si>
  <si>
    <t>192392C01-58</t>
  </si>
  <si>
    <t>192392C01-60</t>
  </si>
  <si>
    <t>192394C01-48</t>
  </si>
  <si>
    <t>192394C01-50</t>
  </si>
  <si>
    <t>192394C01-52</t>
  </si>
  <si>
    <t>192394C01-54</t>
  </si>
  <si>
    <t>192394C01-56</t>
  </si>
  <si>
    <t>192394C01-58</t>
  </si>
  <si>
    <t>192394C01-60</t>
  </si>
  <si>
    <t>192528C02-48</t>
  </si>
  <si>
    <t>192528C02-50</t>
  </si>
  <si>
    <t>192528C02-52</t>
  </si>
  <si>
    <t>192528C02-54</t>
  </si>
  <si>
    <t>192528C02-56</t>
  </si>
  <si>
    <t>192528C02-58</t>
  </si>
  <si>
    <t>192528C02-60</t>
  </si>
  <si>
    <t>192528C02-62</t>
  </si>
  <si>
    <t>192539C01-48</t>
  </si>
  <si>
    <t>192539C01-50</t>
  </si>
  <si>
    <t>192539C01-52</t>
  </si>
  <si>
    <t>192539C01-54</t>
  </si>
  <si>
    <t>192539C01-56</t>
  </si>
  <si>
    <t>192539C01-58</t>
  </si>
  <si>
    <t>192539C01-60</t>
  </si>
  <si>
    <t>192566C01-48</t>
  </si>
  <si>
    <t>192566C01-50</t>
  </si>
  <si>
    <t>192566C01-52</t>
  </si>
  <si>
    <t>192566C01-54</t>
  </si>
  <si>
    <t>192566C01-56</t>
  </si>
  <si>
    <t>192566C01-58</t>
  </si>
  <si>
    <t>192566C01-60</t>
  </si>
  <si>
    <t>192611C01-48</t>
  </si>
  <si>
    <t>192611C01-50</t>
  </si>
  <si>
    <t>192611C01-52</t>
  </si>
  <si>
    <t>192611C01-54</t>
  </si>
  <si>
    <t>192611C01-56</t>
  </si>
  <si>
    <t>192611C01-58</t>
  </si>
  <si>
    <t>192611C01-60</t>
  </si>
  <si>
    <t>192627C01-48</t>
  </si>
  <si>
    <t>192627C01-50</t>
  </si>
  <si>
    <t>192627C01-52</t>
  </si>
  <si>
    <t>192627C01-54</t>
  </si>
  <si>
    <t>192627C01-56</t>
  </si>
  <si>
    <t>192627C01-58</t>
  </si>
  <si>
    <t>192627C01-60</t>
  </si>
  <si>
    <t>192634C01-48</t>
  </si>
  <si>
    <t>192634C01-50</t>
  </si>
  <si>
    <t>192634C01-52</t>
  </si>
  <si>
    <t>192634C01-54</t>
  </si>
  <si>
    <t>192634C01-56</t>
  </si>
  <si>
    <t>192634C01-58</t>
  </si>
  <si>
    <t>192634C01-60</t>
  </si>
  <si>
    <t>192675C01-48</t>
  </si>
  <si>
    <t>192675C01-50</t>
  </si>
  <si>
    <t>192675C01-52</t>
  </si>
  <si>
    <t>192675C01-54</t>
  </si>
  <si>
    <t>192675C01-56</t>
  </si>
  <si>
    <t>192675C01-58</t>
  </si>
  <si>
    <t>192675C01-60</t>
  </si>
  <si>
    <t>192800C01-48</t>
  </si>
  <si>
    <t>192800C01-50</t>
  </si>
  <si>
    <t>192800C01-52</t>
  </si>
  <si>
    <t>192800C01-54</t>
  </si>
  <si>
    <t>192800C01-56</t>
  </si>
  <si>
    <t>192800C01-58</t>
  </si>
  <si>
    <t>192800C01-60</t>
  </si>
  <si>
    <t>192800C01-62</t>
  </si>
  <si>
    <t>192835C01-48</t>
  </si>
  <si>
    <t>192835C01-50</t>
  </si>
  <si>
    <t>192835C01-52</t>
  </si>
  <si>
    <t>192835C01-54</t>
  </si>
  <si>
    <t>192835C01-56</t>
  </si>
  <si>
    <t>192835C01-58</t>
  </si>
  <si>
    <t>192835C01-60</t>
  </si>
  <si>
    <t>192993C01-48</t>
  </si>
  <si>
    <t>192993C01-50</t>
  </si>
  <si>
    <t>192993C01-52</t>
  </si>
  <si>
    <t>192993C01-54</t>
  </si>
  <si>
    <t>192993C01-56</t>
  </si>
  <si>
    <t>192993C01-58</t>
  </si>
  <si>
    <t>192993C01-60</t>
  </si>
  <si>
    <t>192993C03-48</t>
  </si>
  <si>
    <t>192993C03-50</t>
  </si>
  <si>
    <t>192993C03-52</t>
  </si>
  <si>
    <t>192993C03-54</t>
  </si>
  <si>
    <t>192993C03-56</t>
  </si>
  <si>
    <t>192993C03-58</t>
  </si>
  <si>
    <t>192993C03-60</t>
  </si>
  <si>
    <t>192993C05-48</t>
  </si>
  <si>
    <t>192993C05-50</t>
  </si>
  <si>
    <t>192993C05-52</t>
  </si>
  <si>
    <t>192993C05-54</t>
  </si>
  <si>
    <t>192993C05-56</t>
  </si>
  <si>
    <t>192993C05-58</t>
  </si>
  <si>
    <t>192993C05-60</t>
  </si>
  <si>
    <t>192993C07-48</t>
  </si>
  <si>
    <t>192993C07-50</t>
  </si>
  <si>
    <t>192993C07-52</t>
  </si>
  <si>
    <t>192993C07-54</t>
  </si>
  <si>
    <t>192993C07-56</t>
  </si>
  <si>
    <t>192993C07-58</t>
  </si>
  <si>
    <t>192993C07-60</t>
  </si>
  <si>
    <t>192993C09-48</t>
  </si>
  <si>
    <t>192993C09-50</t>
  </si>
  <si>
    <t>192993C09-52</t>
  </si>
  <si>
    <t>192993C09-54</t>
  </si>
  <si>
    <t>192993C09-56</t>
  </si>
  <si>
    <t>192993C09-58</t>
  </si>
  <si>
    <t>192993C09-60</t>
  </si>
  <si>
    <t>192993C10-48</t>
  </si>
  <si>
    <t>192993C10-50</t>
  </si>
  <si>
    <t>192993C10-52</t>
  </si>
  <si>
    <t>192993C10-54</t>
  </si>
  <si>
    <t>192993C10-56</t>
  </si>
  <si>
    <t>192993C10-58</t>
  </si>
  <si>
    <t>192993C10-60</t>
  </si>
  <si>
    <t>192993C12-48</t>
  </si>
  <si>
    <t>192993C12-50</t>
  </si>
  <si>
    <t>192993C12-52</t>
  </si>
  <si>
    <t>192993C12-54</t>
  </si>
  <si>
    <t>192993C12-56</t>
  </si>
  <si>
    <t>192993C12-58</t>
  </si>
  <si>
    <t>192993C12-60</t>
  </si>
  <si>
    <t>192999C01-44</t>
  </si>
  <si>
    <t>192999C01-46</t>
  </si>
  <si>
    <t>192999C01-48</t>
  </si>
  <si>
    <t>192999C01-50</t>
  </si>
  <si>
    <t>192999C01-52</t>
  </si>
  <si>
    <t>192999C01-54</t>
  </si>
  <si>
    <t>192999C01-56</t>
  </si>
  <si>
    <t>192999C01-58</t>
  </si>
  <si>
    <t>192999C01-60</t>
  </si>
  <si>
    <t>192999C01-62</t>
  </si>
  <si>
    <t>192999C01-64</t>
  </si>
  <si>
    <t>193000C01-48</t>
  </si>
  <si>
    <t>193000C01-50</t>
  </si>
  <si>
    <t>193000C01-52</t>
  </si>
  <si>
    <t>193000C01-54</t>
  </si>
  <si>
    <t>193000C01-56</t>
  </si>
  <si>
    <t>193000C01-58</t>
  </si>
  <si>
    <t>193000C01-60</t>
  </si>
  <si>
    <t>193004C01-48</t>
  </si>
  <si>
    <t>193004C01-50</t>
  </si>
  <si>
    <t>193004C01-52</t>
  </si>
  <si>
    <t>193004C01-54</t>
  </si>
  <si>
    <t>193004C01-56</t>
  </si>
  <si>
    <t>193004C01-58</t>
  </si>
  <si>
    <t>193004C01-60</t>
  </si>
  <si>
    <t>193012C01-48</t>
  </si>
  <si>
    <t>193012C01-50</t>
  </si>
  <si>
    <t>193012C01-52</t>
  </si>
  <si>
    <t>193012C01-54</t>
  </si>
  <si>
    <t>193012C01-56</t>
  </si>
  <si>
    <t>193012C01-58</t>
  </si>
  <si>
    <t>193012C01-60</t>
  </si>
  <si>
    <t>193022C01-48</t>
  </si>
  <si>
    <t>193022C01-50</t>
  </si>
  <si>
    <t>193022C01-52</t>
  </si>
  <si>
    <t>193022C01-54</t>
  </si>
  <si>
    <t>193022C01-56</t>
  </si>
  <si>
    <t>193022C01-58</t>
  </si>
  <si>
    <t>193022C01-60</t>
  </si>
  <si>
    <t>193058C00-48</t>
  </si>
  <si>
    <t>193058C00-50</t>
  </si>
  <si>
    <t>193058C00-52</t>
  </si>
  <si>
    <t>193058C00-54</t>
  </si>
  <si>
    <t>193058C00-56</t>
  </si>
  <si>
    <t>193058C00-58</t>
  </si>
  <si>
    <t>193058C00-60</t>
  </si>
  <si>
    <t>193088C01-44</t>
  </si>
  <si>
    <t>193088C01-46</t>
  </si>
  <si>
    <t>193088C01-48</t>
  </si>
  <si>
    <t>193088C01-50</t>
  </si>
  <si>
    <t>193088C01-52</t>
  </si>
  <si>
    <t>193088C01-54</t>
  </si>
  <si>
    <t>193088C01-56</t>
  </si>
  <si>
    <t>193088C01-58</t>
  </si>
  <si>
    <t>193088C01-60</t>
  </si>
  <si>
    <t>193088C01-62</t>
  </si>
  <si>
    <t>193088C01-64</t>
  </si>
  <si>
    <t>193088C02-44</t>
  </si>
  <si>
    <t>193088C02-46</t>
  </si>
  <si>
    <t>193088C02-48</t>
  </si>
  <si>
    <t>193088C02-50</t>
  </si>
  <si>
    <t>193088C02-52</t>
  </si>
  <si>
    <t>193088C02-54</t>
  </si>
  <si>
    <t>193088C02-56</t>
  </si>
  <si>
    <t>193088C02-58</t>
  </si>
  <si>
    <t>193088C02-60</t>
  </si>
  <si>
    <t>193088C02-62</t>
  </si>
  <si>
    <t>193089C01-44</t>
  </si>
  <si>
    <t>193089C01-46</t>
  </si>
  <si>
    <t>193089C01-48</t>
  </si>
  <si>
    <t>193089C01-50</t>
  </si>
  <si>
    <t>193089C01-52</t>
  </si>
  <si>
    <t>193089C01-54</t>
  </si>
  <si>
    <t>193089C01-56</t>
  </si>
  <si>
    <t>193089C01-58</t>
  </si>
  <si>
    <t>193089C01-60</t>
  </si>
  <si>
    <t>193089C01-62</t>
  </si>
  <si>
    <t>193093C00-48</t>
  </si>
  <si>
    <t>193093C00-50</t>
  </si>
  <si>
    <t>193093C00-52</t>
  </si>
  <si>
    <t>193093C00-54</t>
  </si>
  <si>
    <t>193093C00-56</t>
  </si>
  <si>
    <t>193093C00-58</t>
  </si>
  <si>
    <t>193093C00-60</t>
  </si>
  <si>
    <t>193095C00-48</t>
  </si>
  <si>
    <t>193095C00-50</t>
  </si>
  <si>
    <t>193095C00-52</t>
  </si>
  <si>
    <t>193095C00-54</t>
  </si>
  <si>
    <t>193095C00-56</t>
  </si>
  <si>
    <t>193095C00-58</t>
  </si>
  <si>
    <t>193095C00-60</t>
  </si>
  <si>
    <t>193098C01-48</t>
  </si>
  <si>
    <t>193098C01-50</t>
  </si>
  <si>
    <t>193098C01-52</t>
  </si>
  <si>
    <t>193098C01-54</t>
  </si>
  <si>
    <t>193098C01-56</t>
  </si>
  <si>
    <t>193098C01-58</t>
  </si>
  <si>
    <t>193098C01-60</t>
  </si>
  <si>
    <t>193100C01-48</t>
  </si>
  <si>
    <t>193100C01-50</t>
  </si>
  <si>
    <t>193100C01-52</t>
  </si>
  <si>
    <t>193100C01-54</t>
  </si>
  <si>
    <t>193100C01-56</t>
  </si>
  <si>
    <t>193100C01-58</t>
  </si>
  <si>
    <t>193100C01-60</t>
  </si>
  <si>
    <t>193103C01-48</t>
  </si>
  <si>
    <t>193103C01-50</t>
  </si>
  <si>
    <t>193103C01-52</t>
  </si>
  <si>
    <t>193103C01-54</t>
  </si>
  <si>
    <t>193103C01-56</t>
  </si>
  <si>
    <t>193103C01-58</t>
  </si>
  <si>
    <t>193103C01-60</t>
  </si>
  <si>
    <t>193145C01-48</t>
  </si>
  <si>
    <t>193145C01-50</t>
  </si>
  <si>
    <t>193145C01-52</t>
  </si>
  <si>
    <t>193145C01-54</t>
  </si>
  <si>
    <t>193145C01-56</t>
  </si>
  <si>
    <t>193145C01-58</t>
  </si>
  <si>
    <t>193145C01-60</t>
  </si>
  <si>
    <t>193147C01-48</t>
  </si>
  <si>
    <t>193147C01-50</t>
  </si>
  <si>
    <t>193147C01-52</t>
  </si>
  <si>
    <t>193147C01-54</t>
  </si>
  <si>
    <t>193147C01-56</t>
  </si>
  <si>
    <t>193147C01-58</t>
  </si>
  <si>
    <t>193147C01-60</t>
  </si>
  <si>
    <t>193149C01-48</t>
  </si>
  <si>
    <t>193149C01-50</t>
  </si>
  <si>
    <t>193149C01-52</t>
  </si>
  <si>
    <t>193149C01-54</t>
  </si>
  <si>
    <t>193149C01-56</t>
  </si>
  <si>
    <t>193149C01-58</t>
  </si>
  <si>
    <t>193149C01-60</t>
  </si>
  <si>
    <t>193156C01-48</t>
  </si>
  <si>
    <t>193156C01-50</t>
  </si>
  <si>
    <t>193156C01-52</t>
  </si>
  <si>
    <t>193156C01-54</t>
  </si>
  <si>
    <t>193156C01-56</t>
  </si>
  <si>
    <t>193156C01-58</t>
  </si>
  <si>
    <t>193156C01-60</t>
  </si>
  <si>
    <t>193158C01-48</t>
  </si>
  <si>
    <t>193158C01-50</t>
  </si>
  <si>
    <t>193158C01-52</t>
  </si>
  <si>
    <t>193158C01-54</t>
  </si>
  <si>
    <t>193158C01-56</t>
  </si>
  <si>
    <t>193158C01-58</t>
  </si>
  <si>
    <t>193158C01-60</t>
  </si>
  <si>
    <t>193215C01-48</t>
  </si>
  <si>
    <t>193215C01-50</t>
  </si>
  <si>
    <t>193215C01-52</t>
  </si>
  <si>
    <t>193215C01-54</t>
  </si>
  <si>
    <t>193215C01-56</t>
  </si>
  <si>
    <t>193215C01-58</t>
  </si>
  <si>
    <t>193215C01-60</t>
  </si>
  <si>
    <t>193264C00-48</t>
  </si>
  <si>
    <t>193264C00-50</t>
  </si>
  <si>
    <t>193264C00-52</t>
  </si>
  <si>
    <t>193264C00-54</t>
  </si>
  <si>
    <t>193264C00-56</t>
  </si>
  <si>
    <t>193264C00-58</t>
  </si>
  <si>
    <t>193264C00-60</t>
  </si>
  <si>
    <t>193288C00-48</t>
  </si>
  <si>
    <t>193288C00-50</t>
  </si>
  <si>
    <t>193288C00-52</t>
  </si>
  <si>
    <t>193288C00-54</t>
  </si>
  <si>
    <t>193288C00-56</t>
  </si>
  <si>
    <t>193288C00-58</t>
  </si>
  <si>
    <t>193288C00-60</t>
  </si>
  <si>
    <t>193314C00-48</t>
  </si>
  <si>
    <t>193314C00-50</t>
  </si>
  <si>
    <t>193314C00-52</t>
  </si>
  <si>
    <t>193314C00-54</t>
  </si>
  <si>
    <t>193314C00-56</t>
  </si>
  <si>
    <t>193314C00-58</t>
  </si>
  <si>
    <t>193314C00-60</t>
  </si>
  <si>
    <t>193318C00-48</t>
  </si>
  <si>
    <t>193318C00-50</t>
  </si>
  <si>
    <t>193318C00-52</t>
  </si>
  <si>
    <t>193318C00-54</t>
  </si>
  <si>
    <t>193318C00-56</t>
  </si>
  <si>
    <t>193318C00-58</t>
  </si>
  <si>
    <t>193318C00-60</t>
  </si>
  <si>
    <t>193322C01-44</t>
  </si>
  <si>
    <t>193322C01-46</t>
  </si>
  <si>
    <t>193322C01-48</t>
  </si>
  <si>
    <t>193322C01-50</t>
  </si>
  <si>
    <t>193322C01-52</t>
  </si>
  <si>
    <t>193322C01-54</t>
  </si>
  <si>
    <t>193322C01-56</t>
  </si>
  <si>
    <t>193322C01-58</t>
  </si>
  <si>
    <t>193322C01-60</t>
  </si>
  <si>
    <t>193322C01-62</t>
  </si>
  <si>
    <t>193325C01-48</t>
  </si>
  <si>
    <t>193325C01-50</t>
  </si>
  <si>
    <t>193325C01-52</t>
  </si>
  <si>
    <t>193325C01-54</t>
  </si>
  <si>
    <t>193325C01-56</t>
  </si>
  <si>
    <t>193325C01-58</t>
  </si>
  <si>
    <t>193325C01-60</t>
  </si>
  <si>
    <t>193325C01-62</t>
  </si>
  <si>
    <t>193422C01-48</t>
  </si>
  <si>
    <t>193422C01-50</t>
  </si>
  <si>
    <t>193422C01-52</t>
  </si>
  <si>
    <t>193422C01-54</t>
  </si>
  <si>
    <t>193422C01-56</t>
  </si>
  <si>
    <t>193422C01-58</t>
  </si>
  <si>
    <t>193422C01-60</t>
  </si>
  <si>
    <t>193427C00-48</t>
  </si>
  <si>
    <t>193427C00-50</t>
  </si>
  <si>
    <t>193427C00-52</t>
  </si>
  <si>
    <t>193427C00-54</t>
  </si>
  <si>
    <t>193427C00-56</t>
  </si>
  <si>
    <t>193427C00-58</t>
  </si>
  <si>
    <t>193427C00-60</t>
  </si>
  <si>
    <t>193510C01-48</t>
  </si>
  <si>
    <t>193510C01-50</t>
  </si>
  <si>
    <t>193510C01-52</t>
  </si>
  <si>
    <t>193510C01-54</t>
  </si>
  <si>
    <t>193510C01-56</t>
  </si>
  <si>
    <t>193510C01-58</t>
  </si>
  <si>
    <t>193510C01-60</t>
  </si>
  <si>
    <t>193510C02-48</t>
  </si>
  <si>
    <t>193510C02-50</t>
  </si>
  <si>
    <t>193510C02-52</t>
  </si>
  <si>
    <t>193510C02-54</t>
  </si>
  <si>
    <t>193510C02-56</t>
  </si>
  <si>
    <t>193510C02-58</t>
  </si>
  <si>
    <t>193510C02-60</t>
  </si>
  <si>
    <t>193510C03-48</t>
  </si>
  <si>
    <t>193510C03-50</t>
  </si>
  <si>
    <t>193510C03-52</t>
  </si>
  <si>
    <t>193510C03-54</t>
  </si>
  <si>
    <t>193510C03-56</t>
  </si>
  <si>
    <t>193510C03-58</t>
  </si>
  <si>
    <t>193510C03-60</t>
  </si>
  <si>
    <t>193550C01-48</t>
  </si>
  <si>
    <t>193550C01-50</t>
  </si>
  <si>
    <t>193550C01-52</t>
  </si>
  <si>
    <t>193550C01-54</t>
  </si>
  <si>
    <t>193550C01-56</t>
  </si>
  <si>
    <t>193550C01-58</t>
  </si>
  <si>
    <t>193550C01-60</t>
  </si>
  <si>
    <t>193552C01-48</t>
  </si>
  <si>
    <t>193552C01-50</t>
  </si>
  <si>
    <t>193552C01-52</t>
  </si>
  <si>
    <t>193552C01-54</t>
  </si>
  <si>
    <t>193552C01-56</t>
  </si>
  <si>
    <t>193552C01-58</t>
  </si>
  <si>
    <t>193552C01-60</t>
  </si>
  <si>
    <t>193553C01-48</t>
  </si>
  <si>
    <t>193553C01-50</t>
  </si>
  <si>
    <t>193553C01-52</t>
  </si>
  <si>
    <t>193553C01-54</t>
  </si>
  <si>
    <t>193553C01-56</t>
  </si>
  <si>
    <t>193553C01-58</t>
  </si>
  <si>
    <t>193553C01-60</t>
  </si>
  <si>
    <t>193555C01-48</t>
  </si>
  <si>
    <t>193555C01-50</t>
  </si>
  <si>
    <t>193555C01-52</t>
  </si>
  <si>
    <t>193555C01-54</t>
  </si>
  <si>
    <t>193555C01-56</t>
  </si>
  <si>
    <t>193555C01-58</t>
  </si>
  <si>
    <t>193555C01-60</t>
  </si>
  <si>
    <t>193555C02-48</t>
  </si>
  <si>
    <t>193555C02-50</t>
  </si>
  <si>
    <t>193555C02-52</t>
  </si>
  <si>
    <t>193555C02-54</t>
  </si>
  <si>
    <t>193555C02-56</t>
  </si>
  <si>
    <t>193555C02-58</t>
  </si>
  <si>
    <t>193555C02-60</t>
  </si>
  <si>
    <t>193556C01-48</t>
  </si>
  <si>
    <t>193556C01-50</t>
  </si>
  <si>
    <t>193556C01-52</t>
  </si>
  <si>
    <t>193556C01-54</t>
  </si>
  <si>
    <t>193556C01-56</t>
  </si>
  <si>
    <t>193556C01-58</t>
  </si>
  <si>
    <t>193556C01-60</t>
  </si>
  <si>
    <t>193557C01-48</t>
  </si>
  <si>
    <t>193557C01-50</t>
  </si>
  <si>
    <t>193557C01-52</t>
  </si>
  <si>
    <t>193557C01-54</t>
  </si>
  <si>
    <t>193557C01-56</t>
  </si>
  <si>
    <t>193557C01-58</t>
  </si>
  <si>
    <t>193557C01-60</t>
  </si>
  <si>
    <t>193557C01-62</t>
  </si>
  <si>
    <t>193569C00-48</t>
  </si>
  <si>
    <t>193569C00-50</t>
  </si>
  <si>
    <t>193569C00-52</t>
  </si>
  <si>
    <t>193569C00-54</t>
  </si>
  <si>
    <t>193569C00-56</t>
  </si>
  <si>
    <t>193569C00-58</t>
  </si>
  <si>
    <t>193569C00-60</t>
  </si>
  <si>
    <t>193578C01-48</t>
  </si>
  <si>
    <t>193578C01-50</t>
  </si>
  <si>
    <t>193578C01-52</t>
  </si>
  <si>
    <t>193578C01-54</t>
  </si>
  <si>
    <t>193578C01-56</t>
  </si>
  <si>
    <t>193578C01-58</t>
  </si>
  <si>
    <t>193578C01-60</t>
  </si>
  <si>
    <t>193582C01-48</t>
  </si>
  <si>
    <t>193582C01-50</t>
  </si>
  <si>
    <t>193582C01-52</t>
  </si>
  <si>
    <t>193582C01-54</t>
  </si>
  <si>
    <t>193582C01-56</t>
  </si>
  <si>
    <t>193582C01-58</t>
  </si>
  <si>
    <t>193582C01-60</t>
  </si>
  <si>
    <t>193619C01-48</t>
  </si>
  <si>
    <t>193619C01-50</t>
  </si>
  <si>
    <t>193619C01-52</t>
  </si>
  <si>
    <t>193619C01-54</t>
  </si>
  <si>
    <t>193619C01-56</t>
  </si>
  <si>
    <t>193619C01-58</t>
  </si>
  <si>
    <t>193619C01-60</t>
  </si>
  <si>
    <t>193652C01-48</t>
  </si>
  <si>
    <t>193652C01-50</t>
  </si>
  <si>
    <t>193652C01-52</t>
  </si>
  <si>
    <t>193652C01-54</t>
  </si>
  <si>
    <t>193652C01-56</t>
  </si>
  <si>
    <t>193652C01-58</t>
  </si>
  <si>
    <t>193652C01-60</t>
  </si>
  <si>
    <t>193653C01-48</t>
  </si>
  <si>
    <t>193653C01-50</t>
  </si>
  <si>
    <t>193653C01-52</t>
  </si>
  <si>
    <t>193653C01-54</t>
  </si>
  <si>
    <t>193653C01-56</t>
  </si>
  <si>
    <t>193653C01-58</t>
  </si>
  <si>
    <t>193653C01-60</t>
  </si>
  <si>
    <t>193654C01-48</t>
  </si>
  <si>
    <t>193654C01-50</t>
  </si>
  <si>
    <t>193654C01-52</t>
  </si>
  <si>
    <t>193654C01-54</t>
  </si>
  <si>
    <t>193654C01-56</t>
  </si>
  <si>
    <t>193654C01-58</t>
  </si>
  <si>
    <t>193654C01-60</t>
  </si>
  <si>
    <t>193659C01-48</t>
  </si>
  <si>
    <t>193659C01-50</t>
  </si>
  <si>
    <t>193659C01-52</t>
  </si>
  <si>
    <t>193659C01-54</t>
  </si>
  <si>
    <t>193659C01-56</t>
  </si>
  <si>
    <t>193659C01-58</t>
  </si>
  <si>
    <t>193659C01-60</t>
  </si>
  <si>
    <t>193661C01-48</t>
  </si>
  <si>
    <t>193661C01-50</t>
  </si>
  <si>
    <t>193661C01-52</t>
  </si>
  <si>
    <t>193661C01-54</t>
  </si>
  <si>
    <t>193661C01-56</t>
  </si>
  <si>
    <t>193661C01-58</t>
  </si>
  <si>
    <t>193661C01-60</t>
  </si>
  <si>
    <t>193662C01-48</t>
  </si>
  <si>
    <t>193662C01-50</t>
  </si>
  <si>
    <t>193662C01-52</t>
  </si>
  <si>
    <t>193662C01-54</t>
  </si>
  <si>
    <t>193662C01-56</t>
  </si>
  <si>
    <t>193662C01-58</t>
  </si>
  <si>
    <t>193662C01-60</t>
  </si>
  <si>
    <t>193740C01-48</t>
  </si>
  <si>
    <t>193740C01-50</t>
  </si>
  <si>
    <t>193740C01-52</t>
  </si>
  <si>
    <t>193740C01-54</t>
  </si>
  <si>
    <t>193740C01-56</t>
  </si>
  <si>
    <t>193740C01-58</t>
  </si>
  <si>
    <t>193740C01-60</t>
  </si>
  <si>
    <t>193759C01-48</t>
  </si>
  <si>
    <t>193759C01-50</t>
  </si>
  <si>
    <t>193759C01-52</t>
  </si>
  <si>
    <t>193759C01-54</t>
  </si>
  <si>
    <t>193759C01-56</t>
  </si>
  <si>
    <t>193759C01-58</t>
  </si>
  <si>
    <t>193759C01-60</t>
  </si>
  <si>
    <t>193777C01-48</t>
  </si>
  <si>
    <t>193777C01-50</t>
  </si>
  <si>
    <t>193777C01-52</t>
  </si>
  <si>
    <t>193777C01-54</t>
  </si>
  <si>
    <t>193777C01-56</t>
  </si>
  <si>
    <t>193777C01-58</t>
  </si>
  <si>
    <t>193777C01-60</t>
  </si>
  <si>
    <t>193801C01-48</t>
  </si>
  <si>
    <t>193801C01-50</t>
  </si>
  <si>
    <t>193801C01-52</t>
  </si>
  <si>
    <t>193801C01-54</t>
  </si>
  <si>
    <t>193801C01-56</t>
  </si>
  <si>
    <t>193801C01-58</t>
  </si>
  <si>
    <t>193801C01-60</t>
  </si>
  <si>
    <t>193828C01-48</t>
  </si>
  <si>
    <t>193828C01-50</t>
  </si>
  <si>
    <t>193828C01-52</t>
  </si>
  <si>
    <t>193828C01-54</t>
  </si>
  <si>
    <t>193828C01-56</t>
  </si>
  <si>
    <t>193828C01-58</t>
  </si>
  <si>
    <t>193828C01-60</t>
  </si>
  <si>
    <t>193886C00-48</t>
  </si>
  <si>
    <t>193886C00-50</t>
  </si>
  <si>
    <t>193886C00-52</t>
  </si>
  <si>
    <t>193886C00-54</t>
  </si>
  <si>
    <t>193886C00-56</t>
  </si>
  <si>
    <t>193886C00-58</t>
  </si>
  <si>
    <t>193886C00-60</t>
  </si>
  <si>
    <t>193890C00-48</t>
  </si>
  <si>
    <t>193890C00-50</t>
  </si>
  <si>
    <t>193890C00-52</t>
  </si>
  <si>
    <t>193890C00-54</t>
  </si>
  <si>
    <t>193890C00-56</t>
  </si>
  <si>
    <t>193890C00-58</t>
  </si>
  <si>
    <t>193890C00-60</t>
  </si>
  <si>
    <t>193986C00-48</t>
  </si>
  <si>
    <t>193986C00-50</t>
  </si>
  <si>
    <t>193986C00-52</t>
  </si>
  <si>
    <t>193986C00-54</t>
  </si>
  <si>
    <t>193986C00-56</t>
  </si>
  <si>
    <t>193986C00-58</t>
  </si>
  <si>
    <t>193986C00-60</t>
  </si>
  <si>
    <t>193988C00-48</t>
  </si>
  <si>
    <t>193988C00-50</t>
  </si>
  <si>
    <t>193988C00-52</t>
  </si>
  <si>
    <t>193988C00-54</t>
  </si>
  <si>
    <t>193988C00-56</t>
  </si>
  <si>
    <t>193988C00-58</t>
  </si>
  <si>
    <t>193988C00-60</t>
  </si>
  <si>
    <t>194134C01-48</t>
  </si>
  <si>
    <t>194134C01-50</t>
  </si>
  <si>
    <t>194134C01-52</t>
  </si>
  <si>
    <t>194134C01-54</t>
  </si>
  <si>
    <t>194134C01-56</t>
  </si>
  <si>
    <t>194134C01-58</t>
  </si>
  <si>
    <t>194134C01-60</t>
  </si>
  <si>
    <t>194223C01-48</t>
  </si>
  <si>
    <t>194223C01-50</t>
  </si>
  <si>
    <t>194223C01-52</t>
  </si>
  <si>
    <t>194223C01-54</t>
  </si>
  <si>
    <t>194223C01-56</t>
  </si>
  <si>
    <t>194223C01-58</t>
  </si>
  <si>
    <t>194223C01-60</t>
  </si>
  <si>
    <t>194233C01-48</t>
  </si>
  <si>
    <t>194233C01-50</t>
  </si>
  <si>
    <t>194233C01-52</t>
  </si>
  <si>
    <t>194233C01-54</t>
  </si>
  <si>
    <t>194233C01-56</t>
  </si>
  <si>
    <t>194233C01-58</t>
  </si>
  <si>
    <t>194233C01-60</t>
  </si>
  <si>
    <t>194258C00-48</t>
  </si>
  <si>
    <t>194258C00-50</t>
  </si>
  <si>
    <t>194258C00-52</t>
  </si>
  <si>
    <t>194258C00-54</t>
  </si>
  <si>
    <t>194258C00-56</t>
  </si>
  <si>
    <t>194258C00-58</t>
  </si>
  <si>
    <t>194258C00-60</t>
  </si>
  <si>
    <t>194269C01-48</t>
  </si>
  <si>
    <t>194269C01-50</t>
  </si>
  <si>
    <t>194269C01-52</t>
  </si>
  <si>
    <t>194269C01-54</t>
  </si>
  <si>
    <t>194269C01-56</t>
  </si>
  <si>
    <t>194269C01-58</t>
  </si>
  <si>
    <t>194269C01-60</t>
  </si>
  <si>
    <t>194269C02-48</t>
  </si>
  <si>
    <t>194269C02-50</t>
  </si>
  <si>
    <t>194269C02-52</t>
  </si>
  <si>
    <t>194269C02-54</t>
  </si>
  <si>
    <t>194269C02-56</t>
  </si>
  <si>
    <t>194269C02-58</t>
  </si>
  <si>
    <t>194269C02-60</t>
  </si>
  <si>
    <t>194269C03-48</t>
  </si>
  <si>
    <t>194269C03-50</t>
  </si>
  <si>
    <t>194269C03-52</t>
  </si>
  <si>
    <t>194269C03-54</t>
  </si>
  <si>
    <t>194269C03-56</t>
  </si>
  <si>
    <t>194269C03-58</t>
  </si>
  <si>
    <t>194269C03-60</t>
  </si>
  <si>
    <t>194270C01-48</t>
  </si>
  <si>
    <t>194270C01-50</t>
  </si>
  <si>
    <t>194270C01-52</t>
  </si>
  <si>
    <t>194270C01-54</t>
  </si>
  <si>
    <t>194270C01-56</t>
  </si>
  <si>
    <t>194270C01-58</t>
  </si>
  <si>
    <t>194270C01-60</t>
  </si>
  <si>
    <t>196242CZ-48</t>
  </si>
  <si>
    <t>196242CZ-50</t>
  </si>
  <si>
    <t>196242CZ-52</t>
  </si>
  <si>
    <t>196242CZ-54</t>
  </si>
  <si>
    <t>196242CZ-56</t>
  </si>
  <si>
    <t>196242CZ-58</t>
  </si>
  <si>
    <t>196242CZ-60</t>
  </si>
  <si>
    <t>196250CZ-48</t>
  </si>
  <si>
    <t>196250CZ-50</t>
  </si>
  <si>
    <t>196250CZ-52</t>
  </si>
  <si>
    <t>196250CZ-54</t>
  </si>
  <si>
    <t>196250CZ-56</t>
  </si>
  <si>
    <t>196250CZ-58</t>
  </si>
  <si>
    <t>196250CZ-60</t>
  </si>
  <si>
    <t>196314-48</t>
  </si>
  <si>
    <t>196314-50</t>
  </si>
  <si>
    <t>196314-52</t>
  </si>
  <si>
    <t>196314-54</t>
  </si>
  <si>
    <t>196314-56</t>
  </si>
  <si>
    <t>196314-58</t>
  </si>
  <si>
    <t>196314-60</t>
  </si>
  <si>
    <t>196314-62</t>
  </si>
  <si>
    <t>196314-64</t>
  </si>
  <si>
    <t>196316C02-48</t>
  </si>
  <si>
    <t>196316C02-50</t>
  </si>
  <si>
    <t>196316C02-52</t>
  </si>
  <si>
    <t>196316C02-54</t>
  </si>
  <si>
    <t>196316C02-56</t>
  </si>
  <si>
    <t>196316C02-58</t>
  </si>
  <si>
    <t>196316C02-60</t>
  </si>
  <si>
    <t>196316C02-62</t>
  </si>
  <si>
    <t>196316CZ-48</t>
  </si>
  <si>
    <t>196316CZ-50</t>
  </si>
  <si>
    <t>196316CZ-52</t>
  </si>
  <si>
    <t>196316CZ-54</t>
  </si>
  <si>
    <t>196316CZ-56</t>
  </si>
  <si>
    <t>196316CZ-58</t>
  </si>
  <si>
    <t>196316CZ-60</t>
  </si>
  <si>
    <t>196316CZ-62</t>
  </si>
  <si>
    <t>196574CZRMX-48</t>
  </si>
  <si>
    <t>196574CZRMX-50</t>
  </si>
  <si>
    <t>196574CZRMX-52</t>
  </si>
  <si>
    <t>196574CZRMX-54</t>
  </si>
  <si>
    <t>196574CZRMX-56</t>
  </si>
  <si>
    <t>196574CZRMX-58</t>
  </si>
  <si>
    <t>196574CZRMX-60</t>
  </si>
  <si>
    <t>197681-48</t>
  </si>
  <si>
    <t>197681-50</t>
  </si>
  <si>
    <t>197681-52</t>
  </si>
  <si>
    <t>197681-54</t>
  </si>
  <si>
    <t>197681-56</t>
  </si>
  <si>
    <t>197681-58</t>
  </si>
  <si>
    <t>197681-60</t>
  </si>
  <si>
    <t>197736CZ-48</t>
  </si>
  <si>
    <t>197736CZ-50</t>
  </si>
  <si>
    <t>197736CZ-52</t>
  </si>
  <si>
    <t>197736CZ-54</t>
  </si>
  <si>
    <t>197736CZ-56</t>
  </si>
  <si>
    <t>197736CZ-58</t>
  </si>
  <si>
    <t>197736CZ-60</t>
  </si>
  <si>
    <t>198018-48</t>
  </si>
  <si>
    <t>198018-50</t>
  </si>
  <si>
    <t>198018-52</t>
  </si>
  <si>
    <t>198018-54</t>
  </si>
  <si>
    <t>198018-56</t>
  </si>
  <si>
    <t>198018-58</t>
  </si>
  <si>
    <t>198018-60</t>
  </si>
  <si>
    <t>198282CZ-48</t>
  </si>
  <si>
    <t>198282CZ-50</t>
  </si>
  <si>
    <t>198282CZ-52</t>
  </si>
  <si>
    <t>198282CZ-54</t>
  </si>
  <si>
    <t>198282CZ-56</t>
  </si>
  <si>
    <t>198282CZ-58</t>
  </si>
  <si>
    <t>198282CZ-60</t>
  </si>
  <si>
    <t>198289CZ-48</t>
  </si>
  <si>
    <t>198289CZ-50</t>
  </si>
  <si>
    <t>198289CZ-52</t>
  </si>
  <si>
    <t>198289CZ-54</t>
  </si>
  <si>
    <t>198289CZ-56</t>
  </si>
  <si>
    <t>198289CZ-58</t>
  </si>
  <si>
    <t>198289CZ-60</t>
  </si>
  <si>
    <t>198421C01-48</t>
  </si>
  <si>
    <t>198421C01-50</t>
  </si>
  <si>
    <t>198421C01-52</t>
  </si>
  <si>
    <t>198421C01-54</t>
  </si>
  <si>
    <t>198421C01-56</t>
  </si>
  <si>
    <t>198421C01-58</t>
  </si>
  <si>
    <t>198421C01-60</t>
  </si>
  <si>
    <t>198421C01-62</t>
  </si>
  <si>
    <t>198421C02-48</t>
  </si>
  <si>
    <t>198421C02-50</t>
  </si>
  <si>
    <t>198421C02-52</t>
  </si>
  <si>
    <t>198421C02-54</t>
  </si>
  <si>
    <t>198421C02-56</t>
  </si>
  <si>
    <t>198421C02-58</t>
  </si>
  <si>
    <t>198421C02-60</t>
  </si>
  <si>
    <t>198421C02-62</t>
  </si>
  <si>
    <t>198421C03-48</t>
  </si>
  <si>
    <t>198421C03-50</t>
  </si>
  <si>
    <t>198421C03-52</t>
  </si>
  <si>
    <t>198421C03-54</t>
  </si>
  <si>
    <t>198421C03-56</t>
  </si>
  <si>
    <t>198421C03-58</t>
  </si>
  <si>
    <t>198421C03-60</t>
  </si>
  <si>
    <t>198421C04-48</t>
  </si>
  <si>
    <t>198421C04-50</t>
  </si>
  <si>
    <t>198421C04-52</t>
  </si>
  <si>
    <t>198421C04-54</t>
  </si>
  <si>
    <t>198421C04-56</t>
  </si>
  <si>
    <t>198421C04-58</t>
  </si>
  <si>
    <t>198421C04-60</t>
  </si>
  <si>
    <t>198421C05-48</t>
  </si>
  <si>
    <t>198421C05-50</t>
  </si>
  <si>
    <t>198421C05-52</t>
  </si>
  <si>
    <t>198421C05-54</t>
  </si>
  <si>
    <t>198421C05-56</t>
  </si>
  <si>
    <t>198421C05-58</t>
  </si>
  <si>
    <t>198421C05-60</t>
  </si>
  <si>
    <t>198421C06-48</t>
  </si>
  <si>
    <t>198421C06-50</t>
  </si>
  <si>
    <t>198421C06-52</t>
  </si>
  <si>
    <t>198421C06-54</t>
  </si>
  <si>
    <t>198421C06-56</t>
  </si>
  <si>
    <t>198421C06-58</t>
  </si>
  <si>
    <t>198421C06-60</t>
  </si>
  <si>
    <t>198492C01-48</t>
  </si>
  <si>
    <t>198492C01-50</t>
  </si>
  <si>
    <t>198492C01-52</t>
  </si>
  <si>
    <t>198492C01-54</t>
  </si>
  <si>
    <t>198492C01-56</t>
  </si>
  <si>
    <t>198492C01-58</t>
  </si>
  <si>
    <t>198492C01-60</t>
  </si>
  <si>
    <t>198691C01-48</t>
  </si>
  <si>
    <t>198691C01-50</t>
  </si>
  <si>
    <t>198691C01-52</t>
  </si>
  <si>
    <t>198691C01-54</t>
  </si>
  <si>
    <t>198691C01-56</t>
  </si>
  <si>
    <t>198691C01-58</t>
  </si>
  <si>
    <t>198691C01-60</t>
  </si>
  <si>
    <t>198863C01-48</t>
  </si>
  <si>
    <t>198863C01-50</t>
  </si>
  <si>
    <t>198863C01-52</t>
  </si>
  <si>
    <t>198863C01-54</t>
  </si>
  <si>
    <t>198863C01-56</t>
  </si>
  <si>
    <t>198863C01-58</t>
  </si>
  <si>
    <t>198863C01-60</t>
  </si>
  <si>
    <t>198863C01-62</t>
  </si>
  <si>
    <t>198898C00-48</t>
  </si>
  <si>
    <t>198898C00-50</t>
  </si>
  <si>
    <t>198898C00-52</t>
  </si>
  <si>
    <t>198898C00-54</t>
  </si>
  <si>
    <t>198898C00-56</t>
  </si>
  <si>
    <t>198898C00-58</t>
  </si>
  <si>
    <t>198898C00-60</t>
  </si>
  <si>
    <t>199057C01-48</t>
  </si>
  <si>
    <t>199057C01-50</t>
  </si>
  <si>
    <t>199057C01-52</t>
  </si>
  <si>
    <t>199057C01-54</t>
  </si>
  <si>
    <t>199057C01-56</t>
  </si>
  <si>
    <t>199057C01-58</t>
  </si>
  <si>
    <t>199057C01-60</t>
  </si>
  <si>
    <t>199267C02-48</t>
  </si>
  <si>
    <t>199267C02-50</t>
  </si>
  <si>
    <t>199267C02-52</t>
  </si>
  <si>
    <t>199267C02-54</t>
  </si>
  <si>
    <t>199267C02-56</t>
  </si>
  <si>
    <t>199267C02-58</t>
  </si>
  <si>
    <t>199267C02-60</t>
  </si>
  <si>
    <t>199302C01-48</t>
  </si>
  <si>
    <t>199302C01-50</t>
  </si>
  <si>
    <t>199302C01-52</t>
  </si>
  <si>
    <t>199302C01-54</t>
  </si>
  <si>
    <t>199302C01-56</t>
  </si>
  <si>
    <t>199302C01-58</t>
  </si>
  <si>
    <t>199302C01-60</t>
  </si>
  <si>
    <t>199302C01-62</t>
  </si>
  <si>
    <t>199491C01-48</t>
  </si>
  <si>
    <t>199491C01-50</t>
  </si>
  <si>
    <t>199491C01-52</t>
  </si>
  <si>
    <t>199491C01-54</t>
  </si>
  <si>
    <t>199491C01-56</t>
  </si>
  <si>
    <t>199491C01-58</t>
  </si>
  <si>
    <t>199491C01-60</t>
  </si>
  <si>
    <t>199679C01-48</t>
  </si>
  <si>
    <t>199679C01-50</t>
  </si>
  <si>
    <t>199679C01-52</t>
  </si>
  <si>
    <t>199679C01-54</t>
  </si>
  <si>
    <t>199679C01-56</t>
  </si>
  <si>
    <t>199679C01-58</t>
  </si>
  <si>
    <t>199679C01-60</t>
  </si>
  <si>
    <t>199679C01-62</t>
  </si>
  <si>
    <t>260528C01</t>
  </si>
  <si>
    <t>261248C01</t>
  </si>
  <si>
    <t>262633C01</t>
  </si>
  <si>
    <t>262667C01</t>
  </si>
  <si>
    <t>262728C00</t>
  </si>
  <si>
    <t>262738C01</t>
  </si>
  <si>
    <t>262796C01</t>
  </si>
  <si>
    <t>263002C01</t>
  </si>
  <si>
    <t>263003C01</t>
  </si>
  <si>
    <t>263015C01</t>
  </si>
  <si>
    <t>263019C01</t>
  </si>
  <si>
    <t>263150C01</t>
  </si>
  <si>
    <t>263153C01</t>
  </si>
  <si>
    <t>263170C01</t>
  </si>
  <si>
    <t>263179C01</t>
  </si>
  <si>
    <t>263261C01</t>
  </si>
  <si>
    <t>263263C01</t>
  </si>
  <si>
    <t>263266C00</t>
  </si>
  <si>
    <t>263269C00</t>
  </si>
  <si>
    <t>263276C01</t>
  </si>
  <si>
    <t>263280C00</t>
  </si>
  <si>
    <t>263281C01</t>
  </si>
  <si>
    <t>263286C00</t>
  </si>
  <si>
    <t>263287C00</t>
  </si>
  <si>
    <t>263290C00</t>
  </si>
  <si>
    <t>263295C01</t>
  </si>
  <si>
    <t>263298C00</t>
  </si>
  <si>
    <t>263299C00</t>
  </si>
  <si>
    <t>263308C00</t>
  </si>
  <si>
    <t>263309C01</t>
  </si>
  <si>
    <t>263312C00</t>
  </si>
  <si>
    <t>263320C00</t>
  </si>
  <si>
    <t>263507C01</t>
  </si>
  <si>
    <t>263656C01</t>
  </si>
  <si>
    <t>263685C01</t>
  </si>
  <si>
    <t>263807C00</t>
  </si>
  <si>
    <t>263820C01</t>
  </si>
  <si>
    <t>263849C01</t>
  </si>
  <si>
    <t>263851C01</t>
  </si>
  <si>
    <t>263851C02</t>
  </si>
  <si>
    <t>263856C00</t>
  </si>
  <si>
    <t>263870C00</t>
  </si>
  <si>
    <t>263871C00</t>
  </si>
  <si>
    <t>263873C00</t>
  </si>
  <si>
    <t>263874C00</t>
  </si>
  <si>
    <t>263875C00</t>
  </si>
  <si>
    <t>263876C00</t>
  </si>
  <si>
    <t>263878C00</t>
  </si>
  <si>
    <t>263879C00</t>
  </si>
  <si>
    <t>263880C00</t>
  </si>
  <si>
    <t>264264C01</t>
  </si>
  <si>
    <t>266317C01</t>
  </si>
  <si>
    <t>268307C00</t>
  </si>
  <si>
    <t>268427C01</t>
  </si>
  <si>
    <t>268427C02</t>
  </si>
  <si>
    <t>268820C01</t>
  </si>
  <si>
    <t>269532C00</t>
  </si>
  <si>
    <t>269682C01</t>
  </si>
  <si>
    <t>280090C01</t>
  </si>
  <si>
    <t>280528CZ</t>
  </si>
  <si>
    <t>282407C01</t>
  </si>
  <si>
    <t>282622C01</t>
  </si>
  <si>
    <t>286317C01</t>
  </si>
  <si>
    <t>286318CZ</t>
  </si>
  <si>
    <t>288307</t>
  </si>
  <si>
    <t>288427C01</t>
  </si>
  <si>
    <t>288427C02</t>
  </si>
  <si>
    <t>288773C01</t>
  </si>
  <si>
    <t>288820C01</t>
  </si>
  <si>
    <t>290012C01</t>
  </si>
  <si>
    <t>290023C01</t>
  </si>
  <si>
    <t>290058C01</t>
  </si>
  <si>
    <t>290528CZ</t>
  </si>
  <si>
    <t>290558CZ</t>
  </si>
  <si>
    <t>290585CZ</t>
  </si>
  <si>
    <t>290591CZ</t>
  </si>
  <si>
    <t>290597CZ</t>
  </si>
  <si>
    <t>290744CZ</t>
  </si>
  <si>
    <t>290778C01</t>
  </si>
  <si>
    <t>291076C01</t>
  </si>
  <si>
    <t>291156C01</t>
  </si>
  <si>
    <t>291199C01</t>
  </si>
  <si>
    <t>291248C01</t>
  </si>
  <si>
    <t>291445C01</t>
  </si>
  <si>
    <t>292334C01</t>
  </si>
  <si>
    <t>292334C02</t>
  </si>
  <si>
    <t>292334C03</t>
  </si>
  <si>
    <t>292334C04</t>
  </si>
  <si>
    <t>292334C05</t>
  </si>
  <si>
    <t>292334C06</t>
  </si>
  <si>
    <t>292334C07</t>
  </si>
  <si>
    <t>292334C08</t>
  </si>
  <si>
    <t>292334C09</t>
  </si>
  <si>
    <t>292335C01</t>
  </si>
  <si>
    <t>292335C02</t>
  </si>
  <si>
    <t>292335C03</t>
  </si>
  <si>
    <t>292407C01</t>
  </si>
  <si>
    <t>292545C01</t>
  </si>
  <si>
    <t>292549C01</t>
  </si>
  <si>
    <t>292624C01</t>
  </si>
  <si>
    <t>292633C01</t>
  </si>
  <si>
    <t>292667C01</t>
  </si>
  <si>
    <t>292728C00</t>
  </si>
  <si>
    <t>292796C01</t>
  </si>
  <si>
    <t>292834C01</t>
  </si>
  <si>
    <t>292990C01</t>
  </si>
  <si>
    <t>293003C01</t>
  </si>
  <si>
    <t>293015C01</t>
  </si>
  <si>
    <t>293016C01</t>
  </si>
  <si>
    <t>293019C01</t>
  </si>
  <si>
    <t>293097C01</t>
  </si>
  <si>
    <t>293101C01</t>
  </si>
  <si>
    <t>293150C01</t>
  </si>
  <si>
    <t>293152C01</t>
  </si>
  <si>
    <t>293154C01</t>
  </si>
  <si>
    <t>293159C01</t>
  </si>
  <si>
    <t>293168C01</t>
  </si>
  <si>
    <t>293169C01</t>
  </si>
  <si>
    <t>293171C01</t>
  </si>
  <si>
    <t>293178C01</t>
  </si>
  <si>
    <t>293209C01</t>
  </si>
  <si>
    <t>293219C01</t>
  </si>
  <si>
    <t>293276C01</t>
  </si>
  <si>
    <t>293286C00</t>
  </si>
  <si>
    <t>293290C00</t>
  </si>
  <si>
    <t>293299C00</t>
  </si>
  <si>
    <t>293320C00</t>
  </si>
  <si>
    <t>293336C00</t>
  </si>
  <si>
    <t>293355C00</t>
  </si>
  <si>
    <t>293505C01</t>
  </si>
  <si>
    <t>293506C01</t>
  </si>
  <si>
    <t>293528C00</t>
  </si>
  <si>
    <t>293542C01</t>
  </si>
  <si>
    <t>293543C01</t>
  </si>
  <si>
    <t>293544C01</t>
  </si>
  <si>
    <t>293545C01</t>
  </si>
  <si>
    <t>293547C01</t>
  </si>
  <si>
    <t>293551C01</t>
  </si>
  <si>
    <t>293551C02</t>
  </si>
  <si>
    <t>293587C01</t>
  </si>
  <si>
    <t>293633C01</t>
  </si>
  <si>
    <t>293657C01</t>
  </si>
  <si>
    <t>293668C01</t>
  </si>
  <si>
    <t>293741C01</t>
  </si>
  <si>
    <t>293761C01</t>
  </si>
  <si>
    <t>293774C01</t>
  </si>
  <si>
    <t>293779C01</t>
  </si>
  <si>
    <t>293849C01</t>
  </si>
  <si>
    <t>293851C01</t>
  </si>
  <si>
    <t>293851C02</t>
  </si>
  <si>
    <t>293856C00</t>
  </si>
  <si>
    <t>293874C00</t>
  </si>
  <si>
    <t>294230C01</t>
  </si>
  <si>
    <t>294257C01</t>
  </si>
  <si>
    <t>294263C01</t>
  </si>
  <si>
    <t>294265C01</t>
  </si>
  <si>
    <t>296272CZ</t>
  </si>
  <si>
    <t>296317CZ</t>
  </si>
  <si>
    <t>296319CZ</t>
  </si>
  <si>
    <t>297822</t>
  </si>
  <si>
    <t>298307C00</t>
  </si>
  <si>
    <t>298427C01</t>
  </si>
  <si>
    <t>298427C02</t>
  </si>
  <si>
    <t>298427C03</t>
  </si>
  <si>
    <t>298820C01</t>
  </si>
  <si>
    <t>299239C01</t>
  </si>
  <si>
    <t>299486C01</t>
  </si>
  <si>
    <t>299532C00</t>
  </si>
  <si>
    <t>299682C01</t>
  </si>
  <si>
    <t>361174C01-45</t>
  </si>
  <si>
    <t>362234C00-45</t>
  </si>
  <si>
    <t>362234C00-50</t>
  </si>
  <si>
    <t>362237C00</t>
  </si>
  <si>
    <t>362302C01-45</t>
  </si>
  <si>
    <t>362387C01-45</t>
  </si>
  <si>
    <t>362451C00-45</t>
  </si>
  <si>
    <t>362666C01-50</t>
  </si>
  <si>
    <t>363014C01-45</t>
  </si>
  <si>
    <t>363052C00-50</t>
  </si>
  <si>
    <t>363167C01-45</t>
  </si>
  <si>
    <t>363176C01-45</t>
  </si>
  <si>
    <t>363255C00-50</t>
  </si>
  <si>
    <t>363272C00-70</t>
  </si>
  <si>
    <t>363297C01-45</t>
  </si>
  <si>
    <t>363303C01-45</t>
  </si>
  <si>
    <t>363305C01-45</t>
  </si>
  <si>
    <t>363334C00-45</t>
  </si>
  <si>
    <t>363416C00-70</t>
  </si>
  <si>
    <t>363508C01-45</t>
  </si>
  <si>
    <t>363548C01-45</t>
  </si>
  <si>
    <t>363881C00-45</t>
  </si>
  <si>
    <t>363882C00-45</t>
  </si>
  <si>
    <t>363883C01-45</t>
  </si>
  <si>
    <t>363899C00-55</t>
  </si>
  <si>
    <t>364007C01</t>
  </si>
  <si>
    <t>364009C01</t>
  </si>
  <si>
    <t>364015C00</t>
  </si>
  <si>
    <t>364016C00</t>
  </si>
  <si>
    <t>364083C00-70</t>
  </si>
  <si>
    <t>364267C01-45</t>
  </si>
  <si>
    <t>367436C01-45</t>
  </si>
  <si>
    <t>368425C01-45</t>
  </si>
  <si>
    <t>368425C02-45</t>
  </si>
  <si>
    <t>368610C00</t>
  </si>
  <si>
    <t>368611C00</t>
  </si>
  <si>
    <t>368638C00-60</t>
  </si>
  <si>
    <t>368727C00-45</t>
  </si>
  <si>
    <t>368821C01-50</t>
  </si>
  <si>
    <t>369260C00-60</t>
  </si>
  <si>
    <t>369685C00-50</t>
  </si>
  <si>
    <t>380089C01-45</t>
  </si>
  <si>
    <t>382234C00-40</t>
  </si>
  <si>
    <t>382234C00-42</t>
  </si>
  <si>
    <t>382234C00-45</t>
  </si>
  <si>
    <t>382234C00-50</t>
  </si>
  <si>
    <t>382451C00-45</t>
  </si>
  <si>
    <t>382778C01-45</t>
  </si>
  <si>
    <t>387436C01-45</t>
  </si>
  <si>
    <t>388283-60</t>
  </si>
  <si>
    <t>388425C01-45</t>
  </si>
  <si>
    <t>388425C02-45</t>
  </si>
  <si>
    <t>388610C00</t>
  </si>
  <si>
    <t>388914C00</t>
  </si>
  <si>
    <t>389483C01-60</t>
  </si>
  <si>
    <t>390055C01-45</t>
  </si>
  <si>
    <t>391174C01-45</t>
  </si>
  <si>
    <t>391229C01-45</t>
  </si>
  <si>
    <t>391455C01-60</t>
  </si>
  <si>
    <t>392303C00-45</t>
  </si>
  <si>
    <t>392387C01-45</t>
  </si>
  <si>
    <t>392387C02-45</t>
  </si>
  <si>
    <t>392451C00-45</t>
  </si>
  <si>
    <t>392542C01-45</t>
  </si>
  <si>
    <t>392620C01-45</t>
  </si>
  <si>
    <t>392666C01-50</t>
  </si>
  <si>
    <t>392736C01-45</t>
  </si>
  <si>
    <t>392799C00-45</t>
  </si>
  <si>
    <t>392832C01-45</t>
  </si>
  <si>
    <t>392991C01-45</t>
  </si>
  <si>
    <t>393014C01-45</t>
  </si>
  <si>
    <t>393052C00-50</t>
  </si>
  <si>
    <t>393057C01-45</t>
  </si>
  <si>
    <t>393076C01-45</t>
  </si>
  <si>
    <t>393091C00-45</t>
  </si>
  <si>
    <t>393099C01-45</t>
  </si>
  <si>
    <t>393160C01-45</t>
  </si>
  <si>
    <t>393161C01-45</t>
  </si>
  <si>
    <t>393165C01-45</t>
  </si>
  <si>
    <t>393167C01-45</t>
  </si>
  <si>
    <t>393175C01-45</t>
  </si>
  <si>
    <t>393176C01-45</t>
  </si>
  <si>
    <t>393206C01-45</t>
  </si>
  <si>
    <t>393272C00-70</t>
  </si>
  <si>
    <t>393303C01-45</t>
  </si>
  <si>
    <t>393334C00-45</t>
  </si>
  <si>
    <t>393377C00-45</t>
  </si>
  <si>
    <t>393416C00-70</t>
  </si>
  <si>
    <t>393509C01-45</t>
  </si>
  <si>
    <t>393529C00-45</t>
  </si>
  <si>
    <t>393548C01-45</t>
  </si>
  <si>
    <t>393549C01-40</t>
  </si>
  <si>
    <t>393560C01-45</t>
  </si>
  <si>
    <t>393560C02-45</t>
  </si>
  <si>
    <t>393600C01-45</t>
  </si>
  <si>
    <t>393632C01-45</t>
  </si>
  <si>
    <t>393658C01-60</t>
  </si>
  <si>
    <t>393669C01-50</t>
  </si>
  <si>
    <t>393682C00-45</t>
  </si>
  <si>
    <t>393682C00-50</t>
  </si>
  <si>
    <t>393743C01-45</t>
  </si>
  <si>
    <t>393762C01-50</t>
  </si>
  <si>
    <t>393776C01-45</t>
  </si>
  <si>
    <t>393806C01-40</t>
  </si>
  <si>
    <t>393861C00-45</t>
  </si>
  <si>
    <t>393899C00-55</t>
  </si>
  <si>
    <t>394007C01</t>
  </si>
  <si>
    <t>394009C01</t>
  </si>
  <si>
    <t>394012C01</t>
  </si>
  <si>
    <t>394013C01</t>
  </si>
  <si>
    <t>394014C00</t>
  </si>
  <si>
    <t>394086C01-50</t>
  </si>
  <si>
    <t>394231C01-40</t>
  </si>
  <si>
    <t>394232C01-45</t>
  </si>
  <si>
    <t>394235C01-45</t>
  </si>
  <si>
    <t>394259C01-50</t>
  </si>
  <si>
    <t>394266C01-45</t>
  </si>
  <si>
    <t>396240CZ-45</t>
  </si>
  <si>
    <t>396241CZ-45</t>
  </si>
  <si>
    <t>397436CZ-45</t>
  </si>
  <si>
    <t>397571CZ</t>
  </si>
  <si>
    <t>398283-60</t>
  </si>
  <si>
    <t>398296</t>
  </si>
  <si>
    <t>398425C01-45</t>
  </si>
  <si>
    <t>398425C02-45</t>
  </si>
  <si>
    <t>398425C03-45</t>
  </si>
  <si>
    <t>398610C00</t>
  </si>
  <si>
    <t>398611C00</t>
  </si>
  <si>
    <t>398821C01-50</t>
  </si>
  <si>
    <t>398914C00</t>
  </si>
  <si>
    <t>399260C00-60</t>
  </si>
  <si>
    <t>399384C00</t>
  </si>
  <si>
    <t>399566C00</t>
  </si>
  <si>
    <t>399567C00</t>
  </si>
  <si>
    <t>399590C00-45</t>
  </si>
  <si>
    <t>399658C01-45</t>
  </si>
  <si>
    <t>399685C00-50</t>
  </si>
  <si>
    <t>550702-17</t>
  </si>
  <si>
    <t>550702-18</t>
  </si>
  <si>
    <t>550702-19</t>
  </si>
  <si>
    <t>550702-20</t>
  </si>
  <si>
    <t>550702-21</t>
  </si>
  <si>
    <t>559539C00-16</t>
  </si>
  <si>
    <t>559539C00-17</t>
  </si>
  <si>
    <t>559539C00-18</t>
  </si>
  <si>
    <t>559539C00-19</t>
  </si>
  <si>
    <t>559539C00-20</t>
  </si>
  <si>
    <t>559539C00-21</t>
  </si>
  <si>
    <t>559539C00-23</t>
  </si>
  <si>
    <t>560041C01-16</t>
  </si>
  <si>
    <t>560041C01-18</t>
  </si>
  <si>
    <t>560041C01-20</t>
  </si>
  <si>
    <t>561469C01-16</t>
  </si>
  <si>
    <t>561469C01-18</t>
  </si>
  <si>
    <t>561469C01-20</t>
  </si>
  <si>
    <t>561469C02-16</t>
  </si>
  <si>
    <t>561469C02-18</t>
  </si>
  <si>
    <t>561469C02-20</t>
  </si>
  <si>
    <t>561469C03-16</t>
  </si>
  <si>
    <t>561469C03-18</t>
  </si>
  <si>
    <t>561469C03-20</t>
  </si>
  <si>
    <t>562731C00-16</t>
  </si>
  <si>
    <t>562731C00-17</t>
  </si>
  <si>
    <t>562731C00-18</t>
  </si>
  <si>
    <t>562731C00-19</t>
  </si>
  <si>
    <t>562731C00-20</t>
  </si>
  <si>
    <t>562731C00-21</t>
  </si>
  <si>
    <t>562731C00-23</t>
  </si>
  <si>
    <t>562793C00-1</t>
  </si>
  <si>
    <t>562793C00-2</t>
  </si>
  <si>
    <t>562793C00-3</t>
  </si>
  <si>
    <t>562793C00-4</t>
  </si>
  <si>
    <t>562793C00-5</t>
  </si>
  <si>
    <t>563008C01-16</t>
  </si>
  <si>
    <t>563008C01-18</t>
  </si>
  <si>
    <t>563008C01-20</t>
  </si>
  <si>
    <t>563050C00-16</t>
  </si>
  <si>
    <t>563050C00-17</t>
  </si>
  <si>
    <t>563050C00-18</t>
  </si>
  <si>
    <t>563050C00-19</t>
  </si>
  <si>
    <t>563050C00-20</t>
  </si>
  <si>
    <t>563050C00-21</t>
  </si>
  <si>
    <t>563050C00-23</t>
  </si>
  <si>
    <t>563090C00-2</t>
  </si>
  <si>
    <t>563173C01-16</t>
  </si>
  <si>
    <t>563173C01-18</t>
  </si>
  <si>
    <t>563173C01-20</t>
  </si>
  <si>
    <t>563302C00-1</t>
  </si>
  <si>
    <t>563302C00-2</t>
  </si>
  <si>
    <t>563302C00-3</t>
  </si>
  <si>
    <t>563310C00-1</t>
  </si>
  <si>
    <t>563310C00-2</t>
  </si>
  <si>
    <t>563310C00-3</t>
  </si>
  <si>
    <t>563317C00-1</t>
  </si>
  <si>
    <t>563317C00-2</t>
  </si>
  <si>
    <t>563317C00-3</t>
  </si>
  <si>
    <t>563390C00-16</t>
  </si>
  <si>
    <t>563390C00-17</t>
  </si>
  <si>
    <t>563390C00-18</t>
  </si>
  <si>
    <t>563390C00-19</t>
  </si>
  <si>
    <t>563390C00-20</t>
  </si>
  <si>
    <t>563390C00-21</t>
  </si>
  <si>
    <t>563390C00-23</t>
  </si>
  <si>
    <t>563401C01-17</t>
  </si>
  <si>
    <t>563401C01-19</t>
  </si>
  <si>
    <t>563401C01-21</t>
  </si>
  <si>
    <t>563516C01-16</t>
  </si>
  <si>
    <t>563516C01-17</t>
  </si>
  <si>
    <t>563516C01-18</t>
  </si>
  <si>
    <t>563516C01-19</t>
  </si>
  <si>
    <t>563516C01-20</t>
  </si>
  <si>
    <t>563516C01-21</t>
  </si>
  <si>
    <t>563516C01-23</t>
  </si>
  <si>
    <t>563539C01-16</t>
  </si>
  <si>
    <t>563539C01-18</t>
  </si>
  <si>
    <t>563539C01-20</t>
  </si>
  <si>
    <t>563580C01-2</t>
  </si>
  <si>
    <t>563683C01-16</t>
  </si>
  <si>
    <t>563683C01-17</t>
  </si>
  <si>
    <t>563683C01-18</t>
  </si>
  <si>
    <t>563683C01-19</t>
  </si>
  <si>
    <t>563683C01-20</t>
  </si>
  <si>
    <t>563683C01-21</t>
  </si>
  <si>
    <t>563683C01-23</t>
  </si>
  <si>
    <t>563689C00-1</t>
  </si>
  <si>
    <t>563689C00-2</t>
  </si>
  <si>
    <t>563689C00-3</t>
  </si>
  <si>
    <t>563689C00-4</t>
  </si>
  <si>
    <t>563689C00-5</t>
  </si>
  <si>
    <t>563758C01-16</t>
  </si>
  <si>
    <t>563758C01-17</t>
  </si>
  <si>
    <t>563758C01-18</t>
  </si>
  <si>
    <t>563758C01-19</t>
  </si>
  <si>
    <t>563758C01-20</t>
  </si>
  <si>
    <t>563758C01-21</t>
  </si>
  <si>
    <t>563758C01-23</t>
  </si>
  <si>
    <t>563808C00-1</t>
  </si>
  <si>
    <t>563808C00-2</t>
  </si>
  <si>
    <t>563808C00-3</t>
  </si>
  <si>
    <t>563811C00-16</t>
  </si>
  <si>
    <t>563811C00-17</t>
  </si>
  <si>
    <t>563811C00-18</t>
  </si>
  <si>
    <t>563811C00-19</t>
  </si>
  <si>
    <t>563811C00-20</t>
  </si>
  <si>
    <t>563811C00-21</t>
  </si>
  <si>
    <t>563829C00-1</t>
  </si>
  <si>
    <t>563829C00-2</t>
  </si>
  <si>
    <t>563829C00-3</t>
  </si>
  <si>
    <t>563829C00-4</t>
  </si>
  <si>
    <t>563829C00-5</t>
  </si>
  <si>
    <t>563830C01-16</t>
  </si>
  <si>
    <t>563830C01-18</t>
  </si>
  <si>
    <t>563830C01-20</t>
  </si>
  <si>
    <t>563864C00-1</t>
  </si>
  <si>
    <t>563864C00-2</t>
  </si>
  <si>
    <t>563864C00-3</t>
  </si>
  <si>
    <t>563867C00-1</t>
  </si>
  <si>
    <t>563867C00-2</t>
  </si>
  <si>
    <t>563867C00-3</t>
  </si>
  <si>
    <t>563869C00-1</t>
  </si>
  <si>
    <t>563869C00-2</t>
  </si>
  <si>
    <t>563869C00-3</t>
  </si>
  <si>
    <t>564010C01-16</t>
  </si>
  <si>
    <t>564010C01-18</t>
  </si>
  <si>
    <t>564010C01-20</t>
  </si>
  <si>
    <t>564019C01-16</t>
  </si>
  <si>
    <t>564019C01-17</t>
  </si>
  <si>
    <t>564019C01-18</t>
  </si>
  <si>
    <t>564019C01-19</t>
  </si>
  <si>
    <t>564019C01-20</t>
  </si>
  <si>
    <t>564019C01-21</t>
  </si>
  <si>
    <t>564019C01-23</t>
  </si>
  <si>
    <t>564028C00-16</t>
  </si>
  <si>
    <t>564028C00-17</t>
  </si>
  <si>
    <t>564028C00-18</t>
  </si>
  <si>
    <t>564028C00-19</t>
  </si>
  <si>
    <t>564028C00-20</t>
  </si>
  <si>
    <t>564028C00-21</t>
  </si>
  <si>
    <t>564028C00-23</t>
  </si>
  <si>
    <t>564226C01-16</t>
  </si>
  <si>
    <t>564226C01-18</t>
  </si>
  <si>
    <t>564226C01-20</t>
  </si>
  <si>
    <t>564229C01-16</t>
  </si>
  <si>
    <t>564229C01-18</t>
  </si>
  <si>
    <t>564229C01-20</t>
  </si>
  <si>
    <t>564236C00-16</t>
  </si>
  <si>
    <t>564236C00-17</t>
  </si>
  <si>
    <t>564236C00-18</t>
  </si>
  <si>
    <t>564236C00-19</t>
  </si>
  <si>
    <t>564236C00-20</t>
  </si>
  <si>
    <t>564236C00-21</t>
  </si>
  <si>
    <t>564236C00-23</t>
  </si>
  <si>
    <t>568342C01-17</t>
  </si>
  <si>
    <t>568342C01-19</t>
  </si>
  <si>
    <t>568342C01-21</t>
  </si>
  <si>
    <t>568707C00-16</t>
  </si>
  <si>
    <t>568707C00-17</t>
  </si>
  <si>
    <t>568707C00-18</t>
  </si>
  <si>
    <t>568707C00-19</t>
  </si>
  <si>
    <t>568707C00-20</t>
  </si>
  <si>
    <t>568707C00-21</t>
  </si>
  <si>
    <t>568748C00-15</t>
  </si>
  <si>
    <t>568748C00-16</t>
  </si>
  <si>
    <t>568748C00-17</t>
  </si>
  <si>
    <t>568748C00-18</t>
  </si>
  <si>
    <t>568748C00-19</t>
  </si>
  <si>
    <t>568748C00-20</t>
  </si>
  <si>
    <t>568748C00-21</t>
  </si>
  <si>
    <t>568748C00-23</t>
  </si>
  <si>
    <t>569046C01-16</t>
  </si>
  <si>
    <t>569046C01-17</t>
  </si>
  <si>
    <t>569046C01-18</t>
  </si>
  <si>
    <t>569046C01-19</t>
  </si>
  <si>
    <t>569046C01-20</t>
  </si>
  <si>
    <t>569046C01-21</t>
  </si>
  <si>
    <t>569046C01-23</t>
  </si>
  <si>
    <t>569285C00-16</t>
  </si>
  <si>
    <t>569285C00-17</t>
  </si>
  <si>
    <t>569285C00-18</t>
  </si>
  <si>
    <t>569285C00-19</t>
  </si>
  <si>
    <t>569285C00-20</t>
  </si>
  <si>
    <t>569285C00-21</t>
  </si>
  <si>
    <t>569285C00-23</t>
  </si>
  <si>
    <t>569416C01-16</t>
  </si>
  <si>
    <t>569416C01-18</t>
  </si>
  <si>
    <t>569416C01-20</t>
  </si>
  <si>
    <t>569523C00-16</t>
  </si>
  <si>
    <t>569523C00-18</t>
  </si>
  <si>
    <t>569523C00-20</t>
  </si>
  <si>
    <t>569539C00-16</t>
  </si>
  <si>
    <t>569539C00-17</t>
  </si>
  <si>
    <t>569539C00-18</t>
  </si>
  <si>
    <t>569539C00-19</t>
  </si>
  <si>
    <t>569539C00-20</t>
  </si>
  <si>
    <t>569539C00-21</t>
  </si>
  <si>
    <t>569539C00-23</t>
  </si>
  <si>
    <t>569662C00-1</t>
  </si>
  <si>
    <t>569662C00-2</t>
  </si>
  <si>
    <t>569662C00-3</t>
  </si>
  <si>
    <t>569662C00-4</t>
  </si>
  <si>
    <t>569662C00-5</t>
  </si>
  <si>
    <t>580041C01-16</t>
  </si>
  <si>
    <t>580041C01-18</t>
  </si>
  <si>
    <t>580041C01-20</t>
  </si>
  <si>
    <t>580413-45</t>
  </si>
  <si>
    <t>580719-16</t>
  </si>
  <si>
    <t>580719-17</t>
  </si>
  <si>
    <t>580719-18</t>
  </si>
  <si>
    <t>580719-19</t>
  </si>
  <si>
    <t>580719-20</t>
  </si>
  <si>
    <t>580719-21</t>
  </si>
  <si>
    <t>580719-23</t>
  </si>
  <si>
    <t>580728-16</t>
  </si>
  <si>
    <t>580728-17</t>
  </si>
  <si>
    <t>580728-18</t>
  </si>
  <si>
    <t>580728-19</t>
  </si>
  <si>
    <t>580728-20</t>
  </si>
  <si>
    <t>580728-21</t>
  </si>
  <si>
    <t>580728-23</t>
  </si>
  <si>
    <t>581469C01-16</t>
  </si>
  <si>
    <t>581469C01-18</t>
  </si>
  <si>
    <t>581469C01-20</t>
  </si>
  <si>
    <t>581469C02-16</t>
  </si>
  <si>
    <t>581469C02-18</t>
  </si>
  <si>
    <t>581469C02-20</t>
  </si>
  <si>
    <t>582257C00-16</t>
  </si>
  <si>
    <t>582257C00-17</t>
  </si>
  <si>
    <t>582257C00-18</t>
  </si>
  <si>
    <t>582257C00-19</t>
  </si>
  <si>
    <t>582257C00-20</t>
  </si>
  <si>
    <t>582257C00-21</t>
  </si>
  <si>
    <t>582257C00-23</t>
  </si>
  <si>
    <t>582731C00-16</t>
  </si>
  <si>
    <t>582731C00-17</t>
  </si>
  <si>
    <t>582731C00-18</t>
  </si>
  <si>
    <t>582731C00-19</t>
  </si>
  <si>
    <t>582731C00-20</t>
  </si>
  <si>
    <t>582731C00-21</t>
  </si>
  <si>
    <t>583090C00-2</t>
  </si>
  <si>
    <t>586292CZ-16</t>
  </si>
  <si>
    <t>586292CZ-17</t>
  </si>
  <si>
    <t>586292CZ-18</t>
  </si>
  <si>
    <t>586292CZ-19</t>
  </si>
  <si>
    <t>586292CZ-20</t>
  </si>
  <si>
    <t>586292CZ-21</t>
  </si>
  <si>
    <t>586292CZ-23</t>
  </si>
  <si>
    <t>587132-17</t>
  </si>
  <si>
    <t>587132-19</t>
  </si>
  <si>
    <t>587132-21</t>
  </si>
  <si>
    <t>588342CZ-17</t>
  </si>
  <si>
    <t>588342CZ-19</t>
  </si>
  <si>
    <t>588342CZ-21</t>
  </si>
  <si>
    <t>589046C01-16</t>
  </si>
  <si>
    <t>589046C01-17</t>
  </si>
  <si>
    <t>589046C01-18</t>
  </si>
  <si>
    <t>589046C01-19</t>
  </si>
  <si>
    <t>589046C01-20</t>
  </si>
  <si>
    <t>589046C01-21</t>
  </si>
  <si>
    <t>589046C01-23</t>
  </si>
  <si>
    <t>589217C01-16</t>
  </si>
  <si>
    <t>589217C01-18</t>
  </si>
  <si>
    <t>589217C01-20</t>
  </si>
  <si>
    <t>589285C00-16</t>
  </si>
  <si>
    <t>589285C00-17</t>
  </si>
  <si>
    <t>589285C00-18</t>
  </si>
  <si>
    <t>589285C00-19</t>
  </si>
  <si>
    <t>589285C00-20</t>
  </si>
  <si>
    <t>589285C00-21</t>
  </si>
  <si>
    <t>589285C00-23</t>
  </si>
  <si>
    <t>589652C01-2</t>
  </si>
  <si>
    <t>589662C00-1</t>
  </si>
  <si>
    <t>589662C00-2</t>
  </si>
  <si>
    <t>589662C00-3</t>
  </si>
  <si>
    <t>589662C00-4</t>
  </si>
  <si>
    <t>589662C00-5</t>
  </si>
  <si>
    <t>590038C01-16</t>
  </si>
  <si>
    <t>590038C01-17</t>
  </si>
  <si>
    <t>590038C01-18</t>
  </si>
  <si>
    <t>590038C01-19</t>
  </si>
  <si>
    <t>590038C01-20</t>
  </si>
  <si>
    <t>590038C01-21</t>
  </si>
  <si>
    <t>590038C01-23</t>
  </si>
  <si>
    <t>590039C01-16</t>
  </si>
  <si>
    <t>590039C01-18</t>
  </si>
  <si>
    <t>590039C01-20</t>
  </si>
  <si>
    <t>590041C01-16</t>
  </si>
  <si>
    <t>590041C01-18</t>
  </si>
  <si>
    <t>590041C01-20</t>
  </si>
  <si>
    <t>590041C02-16</t>
  </si>
  <si>
    <t>590041C02-18</t>
  </si>
  <si>
    <t>590041C02-20</t>
  </si>
  <si>
    <t>590041C03-16</t>
  </si>
  <si>
    <t>590041C03-18</t>
  </si>
  <si>
    <t>590041C03-20</t>
  </si>
  <si>
    <t>590122C00-16</t>
  </si>
  <si>
    <t>590122C00-17</t>
  </si>
  <si>
    <t>590122C00-18</t>
  </si>
  <si>
    <t>590122C00-19</t>
  </si>
  <si>
    <t>590122C00-20</t>
  </si>
  <si>
    <t>590122C00-21</t>
  </si>
  <si>
    <t>590122C00-23</t>
  </si>
  <si>
    <t>590200-45</t>
  </si>
  <si>
    <t>590200-60</t>
  </si>
  <si>
    <t>590200-75</t>
  </si>
  <si>
    <t>590412-45</t>
  </si>
  <si>
    <t>590412-90</t>
  </si>
  <si>
    <t>590514CZ-45</t>
  </si>
  <si>
    <t>590515-45</t>
  </si>
  <si>
    <t>590702HV-15</t>
  </si>
  <si>
    <t>590702HV-16</t>
  </si>
  <si>
    <t>590702HV-17</t>
  </si>
  <si>
    <t>590702HV-18</t>
  </si>
  <si>
    <t>590702HV-19</t>
  </si>
  <si>
    <t>590702HV-20</t>
  </si>
  <si>
    <t>590702HV-21</t>
  </si>
  <si>
    <t>590702HV-23</t>
  </si>
  <si>
    <t>590713-15</t>
  </si>
  <si>
    <t>590713-17</t>
  </si>
  <si>
    <t>590713-19</t>
  </si>
  <si>
    <t>590713-21</t>
  </si>
  <si>
    <t>590719-16</t>
  </si>
  <si>
    <t>590719-17</t>
  </si>
  <si>
    <t>590719-18</t>
  </si>
  <si>
    <t>590719-19</t>
  </si>
  <si>
    <t>590719-20</t>
  </si>
  <si>
    <t>590719-21</t>
  </si>
  <si>
    <t>590719-23</t>
  </si>
  <si>
    <t>590727CZ-16</t>
  </si>
  <si>
    <t>590727CZ-17</t>
  </si>
  <si>
    <t>590727CZ-18</t>
  </si>
  <si>
    <t>590727CZ-19</t>
  </si>
  <si>
    <t>590727CZ-20</t>
  </si>
  <si>
    <t>590727CZ-21</t>
  </si>
  <si>
    <t>590727CZ-23</t>
  </si>
  <si>
    <t>590728-16</t>
  </si>
  <si>
    <t>590728-17</t>
  </si>
  <si>
    <t>590728-18</t>
  </si>
  <si>
    <t>590728-19</t>
  </si>
  <si>
    <t>590728-20</t>
  </si>
  <si>
    <t>590728-21</t>
  </si>
  <si>
    <t>590728-23</t>
  </si>
  <si>
    <t>590742HV-40</t>
  </si>
  <si>
    <t>590742HV-42</t>
  </si>
  <si>
    <t>590742HV-45</t>
  </si>
  <si>
    <t>590742HV-50</t>
  </si>
  <si>
    <t>590745CBK-D1</t>
  </si>
  <si>
    <t>590745CBK-D2</t>
  </si>
  <si>
    <t>590745CBK-D3</t>
  </si>
  <si>
    <t>590745CBK-D4</t>
  </si>
  <si>
    <t>590745CBK-D5</t>
  </si>
  <si>
    <t>590782C01-16</t>
  </si>
  <si>
    <t>590782C01-17</t>
  </si>
  <si>
    <t>590782C01-18</t>
  </si>
  <si>
    <t>590782C01-19</t>
  </si>
  <si>
    <t>590782C01-20</t>
  </si>
  <si>
    <t>590782C01-21</t>
  </si>
  <si>
    <t>590782C01-23</t>
  </si>
  <si>
    <t>590784C00-16</t>
  </si>
  <si>
    <t>590784C00-17</t>
  </si>
  <si>
    <t>590784C00-18</t>
  </si>
  <si>
    <t>590784C00-19</t>
  </si>
  <si>
    <t>590784C00-20</t>
  </si>
  <si>
    <t>590784C00-21</t>
  </si>
  <si>
    <t>590784C00-23</t>
  </si>
  <si>
    <t>591469C01-16</t>
  </si>
  <si>
    <t>591469C01-18</t>
  </si>
  <si>
    <t>591469C01-20</t>
  </si>
  <si>
    <t>591469C02-16</t>
  </si>
  <si>
    <t>591469C02-18</t>
  </si>
  <si>
    <t>591469C02-20</t>
  </si>
  <si>
    <t>591469C03-16</t>
  </si>
  <si>
    <t>591469C03-18</t>
  </si>
  <si>
    <t>591469C03-20</t>
  </si>
  <si>
    <t>591469C04-16</t>
  </si>
  <si>
    <t>591469C04-18</t>
  </si>
  <si>
    <t>591469C04-20</t>
  </si>
  <si>
    <t>591683C01-17</t>
  </si>
  <si>
    <t>591683C01-19</t>
  </si>
  <si>
    <t>591683C01-21</t>
  </si>
  <si>
    <t>592313C01-1</t>
  </si>
  <si>
    <t>592313C01-2</t>
  </si>
  <si>
    <t>592313C01-3</t>
  </si>
  <si>
    <t>592324C01-17</t>
  </si>
  <si>
    <t>592324C01-19</t>
  </si>
  <si>
    <t>592324C01-21</t>
  </si>
  <si>
    <t>592340C00-1</t>
  </si>
  <si>
    <t>592340C00-2</t>
  </si>
  <si>
    <t>592340C00-3</t>
  </si>
  <si>
    <t>592340C00-4</t>
  </si>
  <si>
    <t>592340C00-5</t>
  </si>
  <si>
    <t>592453C00-16</t>
  </si>
  <si>
    <t>592453C00-17</t>
  </si>
  <si>
    <t>592453C00-18</t>
  </si>
  <si>
    <t>592453C00-19</t>
  </si>
  <si>
    <t>592453C00-20</t>
  </si>
  <si>
    <t>592453C00-21</t>
  </si>
  <si>
    <t>592453C00-23</t>
  </si>
  <si>
    <t>592645C01-16</t>
  </si>
  <si>
    <t>592645C01-17</t>
  </si>
  <si>
    <t>592645C01-18</t>
  </si>
  <si>
    <t>592645C01-19</t>
  </si>
  <si>
    <t>592645C01-20</t>
  </si>
  <si>
    <t>592645C01-21</t>
  </si>
  <si>
    <t>592645C01-23</t>
  </si>
  <si>
    <t>592790C01-S1</t>
  </si>
  <si>
    <t>592790C01-S2</t>
  </si>
  <si>
    <t>592790C01-S3</t>
  </si>
  <si>
    <t>592793C00-1</t>
  </si>
  <si>
    <t>592793C00-2</t>
  </si>
  <si>
    <t>592793C00-3</t>
  </si>
  <si>
    <t>592793C00-4</t>
  </si>
  <si>
    <t>592793C00-5</t>
  </si>
  <si>
    <t>592819C01-16</t>
  </si>
  <si>
    <t>592819C01-17</t>
  </si>
  <si>
    <t>592819C01-18</t>
  </si>
  <si>
    <t>592819C01-19</t>
  </si>
  <si>
    <t>592819C01-20</t>
  </si>
  <si>
    <t>592819C01-21</t>
  </si>
  <si>
    <t>592819C01-23</t>
  </si>
  <si>
    <t>593001C01-16</t>
  </si>
  <si>
    <t>593001C01-18</t>
  </si>
  <si>
    <t>593001C01-20</t>
  </si>
  <si>
    <t>593008C01-16</t>
  </si>
  <si>
    <t>593008C01-18</t>
  </si>
  <si>
    <t>593008C01-20</t>
  </si>
  <si>
    <t>593061C00-16</t>
  </si>
  <si>
    <t>593061C00-17</t>
  </si>
  <si>
    <t>593061C00-18</t>
  </si>
  <si>
    <t>593061C00-19</t>
  </si>
  <si>
    <t>593061C00-20</t>
  </si>
  <si>
    <t>593061C00-21</t>
  </si>
  <si>
    <t>593061C00-23</t>
  </si>
  <si>
    <t>593090C00-2</t>
  </si>
  <si>
    <t>593172C01-16</t>
  </si>
  <si>
    <t>593172C01-18</t>
  </si>
  <si>
    <t>593172C01-20</t>
  </si>
  <si>
    <t>593173C01-16</t>
  </si>
  <si>
    <t>593173C01-18</t>
  </si>
  <si>
    <t>593173C01-20</t>
  </si>
  <si>
    <t>593317C00-1</t>
  </si>
  <si>
    <t>593317C00-2</t>
  </si>
  <si>
    <t>593317C00-3</t>
  </si>
  <si>
    <t>593338C01-D2</t>
  </si>
  <si>
    <t>593361C01-S1</t>
  </si>
  <si>
    <t>593361C01-S2</t>
  </si>
  <si>
    <t>593361C01-S3</t>
  </si>
  <si>
    <t>593363C00-1</t>
  </si>
  <si>
    <t>593363C00-2</t>
  </si>
  <si>
    <t>593363C00-3</t>
  </si>
  <si>
    <t>593363C00-4</t>
  </si>
  <si>
    <t>593363C00-5</t>
  </si>
  <si>
    <t>593400C01-17</t>
  </si>
  <si>
    <t>593400C01-19</t>
  </si>
  <si>
    <t>593400C01-21</t>
  </si>
  <si>
    <t>593539C01-16</t>
  </si>
  <si>
    <t>593539C01-18</t>
  </si>
  <si>
    <t>593539C01-20</t>
  </si>
  <si>
    <t>593572C01-16</t>
  </si>
  <si>
    <t>593572C01-17</t>
  </si>
  <si>
    <t>593572C01-18</t>
  </si>
  <si>
    <t>593572C01-19</t>
  </si>
  <si>
    <t>593572C01-20</t>
  </si>
  <si>
    <t>593572C01-21</t>
  </si>
  <si>
    <t>593572C01-23</t>
  </si>
  <si>
    <t>593579C01-17</t>
  </si>
  <si>
    <t>593579C01-19</t>
  </si>
  <si>
    <t>593579C01-21</t>
  </si>
  <si>
    <t>593584C01-16</t>
  </si>
  <si>
    <t>593584C01-17</t>
  </si>
  <si>
    <t>593584C01-18</t>
  </si>
  <si>
    <t>593584C01-19</t>
  </si>
  <si>
    <t>593584C01-20</t>
  </si>
  <si>
    <t>593584C01-21</t>
  </si>
  <si>
    <t>593584C01-23</t>
  </si>
  <si>
    <t>593655C01-16</t>
  </si>
  <si>
    <t>593655C01-18</t>
  </si>
  <si>
    <t>593655C01-20</t>
  </si>
  <si>
    <t>593681C00-16</t>
  </si>
  <si>
    <t>593681C00-17</t>
  </si>
  <si>
    <t>593681C00-18</t>
  </si>
  <si>
    <t>593681C00-19</t>
  </si>
  <si>
    <t>593681C00-20</t>
  </si>
  <si>
    <t>593681C00-21</t>
  </si>
  <si>
    <t>593681C00-23</t>
  </si>
  <si>
    <t>593738C01-17</t>
  </si>
  <si>
    <t>593738C01-18</t>
  </si>
  <si>
    <t>593738C01-19</t>
  </si>
  <si>
    <t>593738C01-20</t>
  </si>
  <si>
    <t>593738C01-21</t>
  </si>
  <si>
    <t>593757C00-16</t>
  </si>
  <si>
    <t>593757C00-17</t>
  </si>
  <si>
    <t>593757C00-18</t>
  </si>
  <si>
    <t>593757C00-19</t>
  </si>
  <si>
    <t>593757C00-20</t>
  </si>
  <si>
    <t>593757C00-21</t>
  </si>
  <si>
    <t>593757C00-23</t>
  </si>
  <si>
    <t>593816C01-17</t>
  </si>
  <si>
    <t>593816C01-18</t>
  </si>
  <si>
    <t>593816C01-19</t>
  </si>
  <si>
    <t>593816C01-20</t>
  </si>
  <si>
    <t>593816C01-21</t>
  </si>
  <si>
    <t>593853C00-16</t>
  </si>
  <si>
    <t>593853C00-17</t>
  </si>
  <si>
    <t>593853C00-18</t>
  </si>
  <si>
    <t>593853C00-19</t>
  </si>
  <si>
    <t>593853C00-20</t>
  </si>
  <si>
    <t>593853C00-21</t>
  </si>
  <si>
    <t>593854C00-1</t>
  </si>
  <si>
    <t>593854C00-2</t>
  </si>
  <si>
    <t>593854C00-3</t>
  </si>
  <si>
    <t>593854C00-4</t>
  </si>
  <si>
    <t>593854C00-5</t>
  </si>
  <si>
    <t>593927C01-16</t>
  </si>
  <si>
    <t>593927C01-18</t>
  </si>
  <si>
    <t>593927C01-20</t>
  </si>
  <si>
    <t>594010C01-16</t>
  </si>
  <si>
    <t>594010C01-18</t>
  </si>
  <si>
    <t>594010C01-20</t>
  </si>
  <si>
    <t>594028C00-16</t>
  </si>
  <si>
    <t>594028C00-17</t>
  </si>
  <si>
    <t>594028C00-18</t>
  </si>
  <si>
    <t>594028C00-19</t>
  </si>
  <si>
    <t>594028C00-20</t>
  </si>
  <si>
    <t>594028C00-21</t>
  </si>
  <si>
    <t>594028C00-23</t>
  </si>
  <si>
    <t>594226C01-16</t>
  </si>
  <si>
    <t>594226C01-18</t>
  </si>
  <si>
    <t>594226C01-20</t>
  </si>
  <si>
    <t>594227C01-16</t>
  </si>
  <si>
    <t>594227C01-18</t>
  </si>
  <si>
    <t>594227C01-20</t>
  </si>
  <si>
    <t>594234C01-16</t>
  </si>
  <si>
    <t>594234C01-18</t>
  </si>
  <si>
    <t>594234C01-20</t>
  </si>
  <si>
    <t>594236C00-16</t>
  </si>
  <si>
    <t>594236C00-17</t>
  </si>
  <si>
    <t>594236C00-18</t>
  </si>
  <si>
    <t>594236C00-19</t>
  </si>
  <si>
    <t>594236C00-20</t>
  </si>
  <si>
    <t>594236C00-21</t>
  </si>
  <si>
    <t>594236C00-23</t>
  </si>
  <si>
    <t>594262C01-16</t>
  </si>
  <si>
    <t>594262C01-18</t>
  </si>
  <si>
    <t>594262C01-20</t>
  </si>
  <si>
    <t>596268-15</t>
  </si>
  <si>
    <t>596268-17</t>
  </si>
  <si>
    <t>596268-19</t>
  </si>
  <si>
    <t>596268-21</t>
  </si>
  <si>
    <t>596477-4</t>
  </si>
  <si>
    <t>597770CZ-16</t>
  </si>
  <si>
    <t>597770CZ-17</t>
  </si>
  <si>
    <t>597770CZ-18</t>
  </si>
  <si>
    <t>597770CZ-19</t>
  </si>
  <si>
    <t>597770CZ-20</t>
  </si>
  <si>
    <t>597770CZ-21</t>
  </si>
  <si>
    <t>598342CZ-17</t>
  </si>
  <si>
    <t>598342CZ-19</t>
  </si>
  <si>
    <t>598342CZ-21</t>
  </si>
  <si>
    <t>598498C01-16</t>
  </si>
  <si>
    <t>598498C01-18</t>
  </si>
  <si>
    <t>598498C01-20</t>
  </si>
  <si>
    <t>598816C00-15</t>
  </si>
  <si>
    <t>598816C00-16</t>
  </si>
  <si>
    <t>598816C00-17</t>
  </si>
  <si>
    <t>598816C00-18</t>
  </si>
  <si>
    <t>598816C00-19</t>
  </si>
  <si>
    <t>598816C00-20</t>
  </si>
  <si>
    <t>598816C00-21</t>
  </si>
  <si>
    <t>598816C00-23</t>
  </si>
  <si>
    <t>598827C01-16</t>
  </si>
  <si>
    <t>598827C01-17</t>
  </si>
  <si>
    <t>598827C01-18</t>
  </si>
  <si>
    <t>598827C01-19</t>
  </si>
  <si>
    <t>598827C01-20</t>
  </si>
  <si>
    <t>598827C01-21</t>
  </si>
  <si>
    <t>598827C01-23</t>
  </si>
  <si>
    <t>599046C01-16</t>
  </si>
  <si>
    <t>599046C01-17</t>
  </si>
  <si>
    <t>599046C01-18</t>
  </si>
  <si>
    <t>599046C01-19</t>
  </si>
  <si>
    <t>599046C01-20</t>
  </si>
  <si>
    <t>599046C01-21</t>
  </si>
  <si>
    <t>599046C01-23</t>
  </si>
  <si>
    <t>599190C01-16</t>
  </si>
  <si>
    <t>599190C01-17</t>
  </si>
  <si>
    <t>599190C01-18</t>
  </si>
  <si>
    <t>599190C01-19</t>
  </si>
  <si>
    <t>599190C01-20</t>
  </si>
  <si>
    <t>599190C01-21</t>
  </si>
  <si>
    <t>599206C00-16</t>
  </si>
  <si>
    <t>599206C00-17</t>
  </si>
  <si>
    <t>599206C00-18</t>
  </si>
  <si>
    <t>599206C00-19</t>
  </si>
  <si>
    <t>599206C00-20</t>
  </si>
  <si>
    <t>599206C00-21</t>
  </si>
  <si>
    <t>599206C00-23</t>
  </si>
  <si>
    <t>599285C00-16</t>
  </si>
  <si>
    <t>599285C00-17</t>
  </si>
  <si>
    <t>599285C00-18</t>
  </si>
  <si>
    <t>599285C00-19</t>
  </si>
  <si>
    <t>599285C00-20</t>
  </si>
  <si>
    <t>599285C00-21</t>
  </si>
  <si>
    <t>599285C00-23</t>
  </si>
  <si>
    <t>599288C01-16</t>
  </si>
  <si>
    <t>599288C01-17</t>
  </si>
  <si>
    <t>599288C01-18</t>
  </si>
  <si>
    <t>599288C01-19</t>
  </si>
  <si>
    <t>599288C01-20</t>
  </si>
  <si>
    <t>599288C01-21</t>
  </si>
  <si>
    <t>599288C01-23</t>
  </si>
  <si>
    <t>599375C01-1</t>
  </si>
  <si>
    <t>599375C01-2</t>
  </si>
  <si>
    <t>599416C01-16</t>
  </si>
  <si>
    <t>599416C01-18</t>
  </si>
  <si>
    <t>599416C01-20</t>
  </si>
  <si>
    <t>599523C00-16</t>
  </si>
  <si>
    <t>599523C00-18</t>
  </si>
  <si>
    <t>599523C00-20</t>
  </si>
  <si>
    <t>599539C00-16</t>
  </si>
  <si>
    <t>599539C00-17</t>
  </si>
  <si>
    <t>599539C00-18</t>
  </si>
  <si>
    <t>599539C00-19</t>
  </si>
  <si>
    <t>599539C00-20</t>
  </si>
  <si>
    <t>599539C00-21</t>
  </si>
  <si>
    <t>599539C00-23</t>
  </si>
  <si>
    <t>599588C00-1</t>
  </si>
  <si>
    <t>599588C00-2</t>
  </si>
  <si>
    <t>599588C00-3</t>
  </si>
  <si>
    <t>599588C00-4</t>
  </si>
  <si>
    <t>599588C00-5</t>
  </si>
  <si>
    <t>599639C01-16</t>
  </si>
  <si>
    <t>599639C01-17</t>
  </si>
  <si>
    <t>599639C01-18</t>
  </si>
  <si>
    <t>599639C01-19</t>
  </si>
  <si>
    <t>599639C01-20</t>
  </si>
  <si>
    <t>599639C01-21</t>
  </si>
  <si>
    <t>599639C01-23</t>
  </si>
  <si>
    <t>599652C01-2</t>
  </si>
  <si>
    <t>599662C00-1</t>
  </si>
  <si>
    <t>599662C00-2</t>
  </si>
  <si>
    <t>599662C00-3</t>
  </si>
  <si>
    <t>599662C00-4</t>
  </si>
  <si>
    <t>599662C00-5</t>
  </si>
  <si>
    <t>752328C00</t>
  </si>
  <si>
    <t>752337C01</t>
  </si>
  <si>
    <t>752604C01</t>
  </si>
  <si>
    <t>752605C01</t>
  </si>
  <si>
    <t>752636C01</t>
  </si>
  <si>
    <t>760081C00</t>
  </si>
  <si>
    <t>760088C01</t>
  </si>
  <si>
    <t>760268C01</t>
  </si>
  <si>
    <t>760667C01</t>
  </si>
  <si>
    <t>760765C01</t>
  </si>
  <si>
    <t>760964C00</t>
  </si>
  <si>
    <t>761892C00</t>
  </si>
  <si>
    <t>761972C01</t>
  </si>
  <si>
    <t>762015C00</t>
  </si>
  <si>
    <t>762201C01</t>
  </si>
  <si>
    <t>762212C01</t>
  </si>
  <si>
    <t>762470C01</t>
  </si>
  <si>
    <t>762517C01</t>
  </si>
  <si>
    <t>762526C00</t>
  </si>
  <si>
    <t>762536C00</t>
  </si>
  <si>
    <t>762606C01</t>
  </si>
  <si>
    <t>762672C01</t>
  </si>
  <si>
    <t>762676C01</t>
  </si>
  <si>
    <t>762678C01</t>
  </si>
  <si>
    <t>762685C01</t>
  </si>
  <si>
    <t>762699C01</t>
  </si>
  <si>
    <t>762707C01</t>
  </si>
  <si>
    <t>762708C01</t>
  </si>
  <si>
    <t>762710C01</t>
  </si>
  <si>
    <t>762711C01</t>
  </si>
  <si>
    <t>762712C01</t>
  </si>
  <si>
    <t>762715C01</t>
  </si>
  <si>
    <t>762716C00</t>
  </si>
  <si>
    <t>762717C01</t>
  </si>
  <si>
    <t>762719C01</t>
  </si>
  <si>
    <t>762720C01</t>
  </si>
  <si>
    <t>762722C00</t>
  </si>
  <si>
    <t>762723C01</t>
  </si>
  <si>
    <t>762724C01</t>
  </si>
  <si>
    <t>762725C01</t>
  </si>
  <si>
    <t>762751C01</t>
  </si>
  <si>
    <t>762764C01</t>
  </si>
  <si>
    <t>762820C01</t>
  </si>
  <si>
    <t>762825C01</t>
  </si>
  <si>
    <t>762985C01</t>
  </si>
  <si>
    <t>763033C00</t>
  </si>
  <si>
    <t>763034C01</t>
  </si>
  <si>
    <t>763035C01</t>
  </si>
  <si>
    <t>763042C01</t>
  </si>
  <si>
    <t>763044C01</t>
  </si>
  <si>
    <t>763055C00</t>
  </si>
  <si>
    <t>763066C01</t>
  </si>
  <si>
    <t>763072C01</t>
  </si>
  <si>
    <t>763234C01</t>
  </si>
  <si>
    <t>763237C01</t>
  </si>
  <si>
    <t>763243C00</t>
  </si>
  <si>
    <t>763330C01</t>
  </si>
  <si>
    <t>763348C01</t>
  </si>
  <si>
    <t>763349C01</t>
  </si>
  <si>
    <t>763354C01</t>
  </si>
  <si>
    <t>763366C01</t>
  </si>
  <si>
    <t>763368C01</t>
  </si>
  <si>
    <t>763369C01</t>
  </si>
  <si>
    <t>763373C01</t>
  </si>
  <si>
    <t>763375C01</t>
  </si>
  <si>
    <t>763376C01</t>
  </si>
  <si>
    <t>763388C01</t>
  </si>
  <si>
    <t>763389C01</t>
  </si>
  <si>
    <t>763405C01</t>
  </si>
  <si>
    <t>763413C01</t>
  </si>
  <si>
    <t>763417C01</t>
  </si>
  <si>
    <t>763421C01</t>
  </si>
  <si>
    <t>763435C00</t>
  </si>
  <si>
    <t>763436C01</t>
  </si>
  <si>
    <t>763439C00</t>
  </si>
  <si>
    <t>763442C01</t>
  </si>
  <si>
    <t>763453C01</t>
  </si>
  <si>
    <t>763462C01</t>
  </si>
  <si>
    <t>763462C03</t>
  </si>
  <si>
    <t>763462C05</t>
  </si>
  <si>
    <t>763462C06</t>
  </si>
  <si>
    <t>763462C09</t>
  </si>
  <si>
    <t>763462C10</t>
  </si>
  <si>
    <t>763512C01</t>
  </si>
  <si>
    <t>763513C00</t>
  </si>
  <si>
    <t>763515C01-05</t>
  </si>
  <si>
    <t>763583C01</t>
  </si>
  <si>
    <t>763585C01</t>
  </si>
  <si>
    <t>763588C01</t>
  </si>
  <si>
    <t>763590C01</t>
  </si>
  <si>
    <t>763601C00</t>
  </si>
  <si>
    <t>763602C00</t>
  </si>
  <si>
    <t>763604C01</t>
  </si>
  <si>
    <t>763608C01</t>
  </si>
  <si>
    <t>763617C01</t>
  </si>
  <si>
    <t>763618C01</t>
  </si>
  <si>
    <t>763622C01</t>
  </si>
  <si>
    <t>763624C01</t>
  </si>
  <si>
    <t>763650C01</t>
  </si>
  <si>
    <t>763663C00</t>
  </si>
  <si>
    <t>763666C00</t>
  </si>
  <si>
    <t>763678C00</t>
  </si>
  <si>
    <t>763691C00</t>
  </si>
  <si>
    <t>763709C01</t>
  </si>
  <si>
    <t>763711C01</t>
  </si>
  <si>
    <t>763755C00</t>
  </si>
  <si>
    <t>763765C01</t>
  </si>
  <si>
    <t>763781C01</t>
  </si>
  <si>
    <t>763784C01</t>
  </si>
  <si>
    <t>763785C01</t>
  </si>
  <si>
    <t>763787C01</t>
  </si>
  <si>
    <t>763818C01</t>
  </si>
  <si>
    <t>763823C01</t>
  </si>
  <si>
    <t>763824C00</t>
  </si>
  <si>
    <t>763825C01</t>
  </si>
  <si>
    <t>763826C01</t>
  </si>
  <si>
    <t>763859C01</t>
  </si>
  <si>
    <t>763862C01</t>
  </si>
  <si>
    <t>763891C01</t>
  </si>
  <si>
    <t>763892C01</t>
  </si>
  <si>
    <t>763895C01</t>
  </si>
  <si>
    <t>763902C01</t>
  </si>
  <si>
    <t>763904C00-05</t>
  </si>
  <si>
    <t>763915C01</t>
  </si>
  <si>
    <t>763926C01_E002</t>
  </si>
  <si>
    <t>763947C00</t>
  </si>
  <si>
    <t>763948C00</t>
  </si>
  <si>
    <t>763949C00</t>
  </si>
  <si>
    <t>763950C00</t>
  </si>
  <si>
    <t>763951C00</t>
  </si>
  <si>
    <t>763952C00</t>
  </si>
  <si>
    <t>763953C00</t>
  </si>
  <si>
    <t>763954C00</t>
  </si>
  <si>
    <t>763955C00</t>
  </si>
  <si>
    <t>763956C00</t>
  </si>
  <si>
    <t>763957C00</t>
  </si>
  <si>
    <t>763958C00</t>
  </si>
  <si>
    <t>763959C00</t>
  </si>
  <si>
    <t>763960C00</t>
  </si>
  <si>
    <t>763961C00</t>
  </si>
  <si>
    <t>763962C00</t>
  </si>
  <si>
    <t>763963C00</t>
  </si>
  <si>
    <t>763964C00</t>
  </si>
  <si>
    <t>763965C00</t>
  </si>
  <si>
    <t>763966C00</t>
  </si>
  <si>
    <t>763967C00</t>
  </si>
  <si>
    <t>763968C00</t>
  </si>
  <si>
    <t>763969C00</t>
  </si>
  <si>
    <t>763970C00</t>
  </si>
  <si>
    <t>763971C00</t>
  </si>
  <si>
    <t>763972C00</t>
  </si>
  <si>
    <t>763974C01</t>
  </si>
  <si>
    <t>763985C01</t>
  </si>
  <si>
    <t>763998C00</t>
  </si>
  <si>
    <t>764000C00</t>
  </si>
  <si>
    <t>764018C01</t>
  </si>
  <si>
    <t>764020C01</t>
  </si>
  <si>
    <t>764023C01</t>
  </si>
  <si>
    <t>764042C00</t>
  </si>
  <si>
    <t>764045C00</t>
  </si>
  <si>
    <t>764046C00</t>
  </si>
  <si>
    <t>764047C00</t>
  </si>
  <si>
    <t>764048C00</t>
  </si>
  <si>
    <t>764050C00</t>
  </si>
  <si>
    <t>764052C00</t>
  </si>
  <si>
    <t>764057C00</t>
  </si>
  <si>
    <t>764063C01</t>
  </si>
  <si>
    <t>764078C01</t>
  </si>
  <si>
    <t>764081C01</t>
  </si>
  <si>
    <t>764082C01</t>
  </si>
  <si>
    <t>764084C01</t>
  </si>
  <si>
    <t>764087C00</t>
  </si>
  <si>
    <t>764088C01</t>
  </si>
  <si>
    <t>764090C01</t>
  </si>
  <si>
    <t>764130C01</t>
  </si>
  <si>
    <t>764138C01</t>
  </si>
  <si>
    <t>764141C01</t>
  </si>
  <si>
    <t>764145C00</t>
  </si>
  <si>
    <t>764207C01</t>
  </si>
  <si>
    <t>764213C01</t>
  </si>
  <si>
    <t>764215C00</t>
  </si>
  <si>
    <t>764216C01</t>
  </si>
  <si>
    <t>764240C01</t>
  </si>
  <si>
    <t>764248C01</t>
  </si>
  <si>
    <t>764275C01</t>
  </si>
  <si>
    <t>767516C00</t>
  </si>
  <si>
    <t>768009C01</t>
  </si>
  <si>
    <t>768035C00</t>
  </si>
  <si>
    <t>768642C01-05</t>
  </si>
  <si>
    <t>768658C01</t>
  </si>
  <si>
    <t>768661C01</t>
  </si>
  <si>
    <t>768747C01</t>
  </si>
  <si>
    <t>768761C01</t>
  </si>
  <si>
    <t>768785C01</t>
  </si>
  <si>
    <t>768869C00</t>
  </si>
  <si>
    <t>768939C01</t>
  </si>
  <si>
    <t>769144C00</t>
  </si>
  <si>
    <t>769187C01</t>
  </si>
  <si>
    <t>769270C01</t>
  </si>
  <si>
    <t>769271C01</t>
  </si>
  <si>
    <t>769352C01</t>
  </si>
  <si>
    <t>769434C01</t>
  </si>
  <si>
    <t>769435C01</t>
  </si>
  <si>
    <t>769660C01</t>
  </si>
  <si>
    <t>780087C01</t>
  </si>
  <si>
    <t>780088C01</t>
  </si>
  <si>
    <t>780112C01</t>
  </si>
  <si>
    <t>780964</t>
  </si>
  <si>
    <t>781142C01</t>
  </si>
  <si>
    <t>781490C01</t>
  </si>
  <si>
    <t>781682C01</t>
  </si>
  <si>
    <t>781714C01</t>
  </si>
  <si>
    <t>781728CZ</t>
  </si>
  <si>
    <t>781817CZ</t>
  </si>
  <si>
    <t>781817PCZ</t>
  </si>
  <si>
    <t>781972CZ</t>
  </si>
  <si>
    <t>782015C00</t>
  </si>
  <si>
    <t>782208C01</t>
  </si>
  <si>
    <t>782243C00</t>
  </si>
  <si>
    <t>782244C00</t>
  </si>
  <si>
    <t>782327C00</t>
  </si>
  <si>
    <t>782506C01</t>
  </si>
  <si>
    <t>782555C01</t>
  </si>
  <si>
    <t>782615C01</t>
  </si>
  <si>
    <t>782642C00</t>
  </si>
  <si>
    <t>782698C01</t>
  </si>
  <si>
    <t>782716C00</t>
  </si>
  <si>
    <t>782816C01</t>
  </si>
  <si>
    <t>782820C01</t>
  </si>
  <si>
    <t>783042C01</t>
  </si>
  <si>
    <t>783066C01</t>
  </si>
  <si>
    <t>783079C01</t>
  </si>
  <si>
    <t>783080C01</t>
  </si>
  <si>
    <t>783242C01</t>
  </si>
  <si>
    <t>783250C01</t>
  </si>
  <si>
    <t>786322CZ-05</t>
  </si>
  <si>
    <t>787247NLCMX</t>
  </si>
  <si>
    <t>787516</t>
  </si>
  <si>
    <t>787785CZ</t>
  </si>
  <si>
    <t>788255</t>
  </si>
  <si>
    <t>788313-05</t>
  </si>
  <si>
    <t>788692C01</t>
  </si>
  <si>
    <t>788747C01</t>
  </si>
  <si>
    <t>788761C01</t>
  </si>
  <si>
    <t>788771C01</t>
  </si>
  <si>
    <t>788772C01</t>
  </si>
  <si>
    <t>788809C01</t>
  </si>
  <si>
    <t>788826C01</t>
  </si>
  <si>
    <t>788830C00</t>
  </si>
  <si>
    <t>788878C01</t>
  </si>
  <si>
    <t>788942C01</t>
  </si>
  <si>
    <t>789144C00</t>
  </si>
  <si>
    <t>789218C01</t>
  </si>
  <si>
    <t>789270C01</t>
  </si>
  <si>
    <t>789372C00</t>
  </si>
  <si>
    <t>789421C00</t>
  </si>
  <si>
    <t>789434C01</t>
  </si>
  <si>
    <t>789435C01</t>
  </si>
  <si>
    <t>789541C01-05</t>
  </si>
  <si>
    <t>789643C01</t>
  </si>
  <si>
    <t>789660C01</t>
  </si>
  <si>
    <t>790015C00</t>
  </si>
  <si>
    <t>790024C01</t>
  </si>
  <si>
    <t>790064C04</t>
  </si>
  <si>
    <t>790065C02</t>
  </si>
  <si>
    <t>790065C05</t>
  </si>
  <si>
    <t>790065C06</t>
  </si>
  <si>
    <t>790065C09</t>
  </si>
  <si>
    <t>790071C00</t>
  </si>
  <si>
    <t>790075C01</t>
  </si>
  <si>
    <t>790086C00</t>
  </si>
  <si>
    <t>790088C01</t>
  </si>
  <si>
    <t>790111C01</t>
  </si>
  <si>
    <t>790483C01</t>
  </si>
  <si>
    <t>790667C01</t>
  </si>
  <si>
    <t>790667C02</t>
  </si>
  <si>
    <t>790757C01</t>
  </si>
  <si>
    <t>790761C01</t>
  </si>
  <si>
    <t>790762C01</t>
  </si>
  <si>
    <t>790771C01</t>
  </si>
  <si>
    <t>790777C01</t>
  </si>
  <si>
    <t>790777C02</t>
  </si>
  <si>
    <t>790780C01</t>
  </si>
  <si>
    <t>790788C01</t>
  </si>
  <si>
    <t>790800C00</t>
  </si>
  <si>
    <t>790930</t>
  </si>
  <si>
    <t>790964</t>
  </si>
  <si>
    <t>791057C01</t>
  </si>
  <si>
    <t>791079</t>
  </si>
  <si>
    <t>791082</t>
  </si>
  <si>
    <t>791088-05</t>
  </si>
  <si>
    <t>791151C01</t>
  </si>
  <si>
    <t>791155C01</t>
  </si>
  <si>
    <t>791242CZ</t>
  </si>
  <si>
    <t>791282</t>
  </si>
  <si>
    <t>791288CZ</t>
  </si>
  <si>
    <t>791359CZ</t>
  </si>
  <si>
    <t>791361EN09</t>
  </si>
  <si>
    <t>791495EN12</t>
  </si>
  <si>
    <t>791501C01</t>
  </si>
  <si>
    <t>791507C00</t>
  </si>
  <si>
    <t>791535CZ</t>
  </si>
  <si>
    <t>791583C01</t>
  </si>
  <si>
    <t>791676C01</t>
  </si>
  <si>
    <t>791678C01</t>
  </si>
  <si>
    <t>791681C01</t>
  </si>
  <si>
    <t>791688C01-05</t>
  </si>
  <si>
    <t>791691C01</t>
  </si>
  <si>
    <t>791691C02</t>
  </si>
  <si>
    <t>791691C03</t>
  </si>
  <si>
    <t>791691C04</t>
  </si>
  <si>
    <t>791691C05</t>
  </si>
  <si>
    <t>791694C01</t>
  </si>
  <si>
    <t>791697C01</t>
  </si>
  <si>
    <t>791714CZ</t>
  </si>
  <si>
    <t>791726PCZ</t>
  </si>
  <si>
    <t>791728CZ</t>
  </si>
  <si>
    <t>791736CZ-05</t>
  </si>
  <si>
    <t>791752</t>
  </si>
  <si>
    <t>791788-05</t>
  </si>
  <si>
    <t>791817CZ</t>
  </si>
  <si>
    <t>791817MCZ</t>
  </si>
  <si>
    <t>791817NSBMX</t>
  </si>
  <si>
    <t>791817PCZ</t>
  </si>
  <si>
    <t>791872</t>
  </si>
  <si>
    <t>791892</t>
  </si>
  <si>
    <t>791946PCZ</t>
  </si>
  <si>
    <t>791948CZ</t>
  </si>
  <si>
    <t>791972C01</t>
  </si>
  <si>
    <t>791972CZ</t>
  </si>
  <si>
    <t>791972PCZ</t>
  </si>
  <si>
    <t>791978</t>
  </si>
  <si>
    <t>791993CZ</t>
  </si>
  <si>
    <t>792015</t>
  </si>
  <si>
    <t>792015_E033</t>
  </si>
  <si>
    <t>792015_E040</t>
  </si>
  <si>
    <t>792015C00_E070</t>
  </si>
  <si>
    <t>792016CZ_E045</t>
  </si>
  <si>
    <t>792017CZ_E019</t>
  </si>
  <si>
    <t>792017CZ_E022</t>
  </si>
  <si>
    <t>792018_E019</t>
  </si>
  <si>
    <t>792018C00_E027</t>
  </si>
  <si>
    <t>792030C01</t>
  </si>
  <si>
    <t>792031C01</t>
  </si>
  <si>
    <t>792057CZ-05</t>
  </si>
  <si>
    <t>792072EN40</t>
  </si>
  <si>
    <t>792089CZ</t>
  </si>
  <si>
    <t>792100CZ</t>
  </si>
  <si>
    <t>792152CZ</t>
  </si>
  <si>
    <t>792197C01</t>
  </si>
  <si>
    <t>792201C01</t>
  </si>
  <si>
    <t>792209C01</t>
  </si>
  <si>
    <t>792213C01</t>
  </si>
  <si>
    <t>792214C01</t>
  </si>
  <si>
    <t>792235C01</t>
  </si>
  <si>
    <t>792239C01</t>
  </si>
  <si>
    <t>792245C01</t>
  </si>
  <si>
    <t>792247C01</t>
  </si>
  <si>
    <t>792254C01</t>
  </si>
  <si>
    <t>792255C01</t>
  </si>
  <si>
    <t>792274C00-05</t>
  </si>
  <si>
    <t>792291C01</t>
  </si>
  <si>
    <t>792292C01</t>
  </si>
  <si>
    <t>792323C01</t>
  </si>
  <si>
    <t>792336C01</t>
  </si>
  <si>
    <t>792356C01</t>
  </si>
  <si>
    <t>792358C01</t>
  </si>
  <si>
    <t>792363C01</t>
  </si>
  <si>
    <t>792366C01</t>
  </si>
  <si>
    <t>792369C01</t>
  </si>
  <si>
    <t>792377C00</t>
  </si>
  <si>
    <t>792382C01</t>
  </si>
  <si>
    <t>792383C01</t>
  </si>
  <si>
    <t>792522C01</t>
  </si>
  <si>
    <t>792523C01</t>
  </si>
  <si>
    <t>792552C01</t>
  </si>
  <si>
    <t>792554C01</t>
  </si>
  <si>
    <t>792571C01</t>
  </si>
  <si>
    <t>792573C01</t>
  </si>
  <si>
    <t>792577C00</t>
  </si>
  <si>
    <t>792587C01</t>
  </si>
  <si>
    <t>792623C01</t>
  </si>
  <si>
    <t>792630C01</t>
  </si>
  <si>
    <t>792630C02</t>
  </si>
  <si>
    <t>792630C03</t>
  </si>
  <si>
    <t>792630C04</t>
  </si>
  <si>
    <t>792643C01</t>
  </si>
  <si>
    <t>792649C01</t>
  </si>
  <si>
    <t>792654C01</t>
  </si>
  <si>
    <t>792679C01</t>
  </si>
  <si>
    <t>792680C01</t>
  </si>
  <si>
    <t>792695C01</t>
  </si>
  <si>
    <t>792698C01</t>
  </si>
  <si>
    <t>792700C01</t>
  </si>
  <si>
    <t>792701C01</t>
  </si>
  <si>
    <t>792703C01</t>
  </si>
  <si>
    <t>792704C01</t>
  </si>
  <si>
    <t>792709C01</t>
  </si>
  <si>
    <t>792714C01</t>
  </si>
  <si>
    <t>792746C00</t>
  </si>
  <si>
    <t>792751C01</t>
  </si>
  <si>
    <t>792752C01</t>
  </si>
  <si>
    <t>792754C01</t>
  </si>
  <si>
    <t>792755C01</t>
  </si>
  <si>
    <t>792758C01</t>
  </si>
  <si>
    <t>792766C01</t>
  </si>
  <si>
    <t>792811C01</t>
  </si>
  <si>
    <t>792817C01</t>
  </si>
  <si>
    <t>792820C01</t>
  </si>
  <si>
    <t>792821C01</t>
  </si>
  <si>
    <t>792822C01</t>
  </si>
  <si>
    <t>792828C00</t>
  </si>
  <si>
    <t>792829C00</t>
  </si>
  <si>
    <t>792831C01</t>
  </si>
  <si>
    <t>792954C01</t>
  </si>
  <si>
    <t>792974C01</t>
  </si>
  <si>
    <t>792979C01</t>
  </si>
  <si>
    <t>792980C01</t>
  </si>
  <si>
    <t>792981C01</t>
  </si>
  <si>
    <t>792983C01</t>
  </si>
  <si>
    <t>792986C01</t>
  </si>
  <si>
    <t>792987C01</t>
  </si>
  <si>
    <t>792988C01</t>
  </si>
  <si>
    <t>793031C01</t>
  </si>
  <si>
    <t>793032C01</t>
  </si>
  <si>
    <t>793033C00</t>
  </si>
  <si>
    <t>793041C01</t>
  </si>
  <si>
    <t>793042C01</t>
  </si>
  <si>
    <t>793042C02</t>
  </si>
  <si>
    <t>793042C03</t>
  </si>
  <si>
    <t>793042C04</t>
  </si>
  <si>
    <t>793044C01</t>
  </si>
  <si>
    <t>793048C00</t>
  </si>
  <si>
    <t>793055C00</t>
  </si>
  <si>
    <t>793066C01</t>
  </si>
  <si>
    <t>793071C01</t>
  </si>
  <si>
    <t>793084C00</t>
  </si>
  <si>
    <t>793085C01</t>
  </si>
  <si>
    <t>793086C01</t>
  </si>
  <si>
    <t>793087C01</t>
  </si>
  <si>
    <t>793105C00</t>
  </si>
  <si>
    <t>793106C00</t>
  </si>
  <si>
    <t>793107C00</t>
  </si>
  <si>
    <t>793108C01</t>
  </si>
  <si>
    <t>793117C00</t>
  </si>
  <si>
    <t>793118C00</t>
  </si>
  <si>
    <t>793119C01</t>
  </si>
  <si>
    <t>793125C01</t>
  </si>
  <si>
    <t>793125C02</t>
  </si>
  <si>
    <t>793125C03</t>
  </si>
  <si>
    <t>793125C05</t>
  </si>
  <si>
    <t>793125C07</t>
  </si>
  <si>
    <t>793125C09</t>
  </si>
  <si>
    <t>793125C10</t>
  </si>
  <si>
    <t>793129C01</t>
  </si>
  <si>
    <t>793189C01</t>
  </si>
  <si>
    <t>793200C01</t>
  </si>
  <si>
    <t>793201C01</t>
  </si>
  <si>
    <t>793201C02</t>
  </si>
  <si>
    <t>793202C01</t>
  </si>
  <si>
    <t>793212C01</t>
  </si>
  <si>
    <t>793213C00</t>
  </si>
  <si>
    <t>793232C01</t>
  </si>
  <si>
    <t>793241C00</t>
  </si>
  <si>
    <t>793243C00</t>
  </si>
  <si>
    <t>793252C00</t>
  </si>
  <si>
    <t>793331C01</t>
  </si>
  <si>
    <t>793332C01</t>
  </si>
  <si>
    <t>793337C01</t>
  </si>
  <si>
    <t>793337C02</t>
  </si>
  <si>
    <t>793337C03</t>
  </si>
  <si>
    <t>793337C04</t>
  </si>
  <si>
    <t>793337C05</t>
  </si>
  <si>
    <t>793337C06</t>
  </si>
  <si>
    <t>793337C07</t>
  </si>
  <si>
    <t>793339C01</t>
  </si>
  <si>
    <t>793342C01</t>
  </si>
  <si>
    <t>793345C01</t>
  </si>
  <si>
    <t>793348C01</t>
  </si>
  <si>
    <t>793351C00</t>
  </si>
  <si>
    <t>793352C01</t>
  </si>
  <si>
    <t>793353C00</t>
  </si>
  <si>
    <t>793357C01</t>
  </si>
  <si>
    <t>793359C01</t>
  </si>
  <si>
    <t>793360C01</t>
  </si>
  <si>
    <t>793364C01</t>
  </si>
  <si>
    <t>793367C01</t>
  </si>
  <si>
    <t>793370C01</t>
  </si>
  <si>
    <t>793388C01</t>
  </si>
  <si>
    <t>793389C01</t>
  </si>
  <si>
    <t>793404C01</t>
  </si>
  <si>
    <t>793411C01</t>
  </si>
  <si>
    <t>793420C01</t>
  </si>
  <si>
    <t>793423C01</t>
  </si>
  <si>
    <t>793424C01</t>
  </si>
  <si>
    <t>793434C01</t>
  </si>
  <si>
    <t>793439C00</t>
  </si>
  <si>
    <t>793440C00</t>
  </si>
  <si>
    <t>793442C01</t>
  </si>
  <si>
    <t>793448C01</t>
  </si>
  <si>
    <t>793449C00</t>
  </si>
  <si>
    <t>793450C01</t>
  </si>
  <si>
    <t>793451C01</t>
  </si>
  <si>
    <t>793452C01</t>
  </si>
  <si>
    <t>793463C01</t>
  </si>
  <si>
    <t>793512C01</t>
  </si>
  <si>
    <t>793514C01</t>
  </si>
  <si>
    <t>793530C01</t>
  </si>
  <si>
    <t>793531C01</t>
  </si>
  <si>
    <t>793532C01</t>
  </si>
  <si>
    <t>793533C01</t>
  </si>
  <si>
    <t>793559C01</t>
  </si>
  <si>
    <t>793562C01</t>
  </si>
  <si>
    <t>793563C01</t>
  </si>
  <si>
    <t>793564C01</t>
  </si>
  <si>
    <t>793565C01</t>
  </si>
  <si>
    <t>793568C01</t>
  </si>
  <si>
    <t>793583C01</t>
  </si>
  <si>
    <t>793586C01</t>
  </si>
  <si>
    <t>793589C01</t>
  </si>
  <si>
    <t>793591C01</t>
  </si>
  <si>
    <t>793593C01</t>
  </si>
  <si>
    <t>793594C01</t>
  </si>
  <si>
    <t>793595C01</t>
  </si>
  <si>
    <t>793596C01</t>
  </si>
  <si>
    <t>793597C00</t>
  </si>
  <si>
    <t>793598C01</t>
  </si>
  <si>
    <t>793599C01</t>
  </si>
  <si>
    <t>793603C01</t>
  </si>
  <si>
    <t>793604C01</t>
  </si>
  <si>
    <t>793620C01</t>
  </si>
  <si>
    <t>793626C01</t>
  </si>
  <si>
    <t>793649C01</t>
  </si>
  <si>
    <t>793665C01</t>
  </si>
  <si>
    <t>793667C01</t>
  </si>
  <si>
    <t>793671C00</t>
  </si>
  <si>
    <t>793672C01</t>
  </si>
  <si>
    <t>793673C01</t>
  </si>
  <si>
    <t>793676C01</t>
  </si>
  <si>
    <t>793679C01</t>
  </si>
  <si>
    <t>793687C01</t>
  </si>
  <si>
    <t>793688C01</t>
  </si>
  <si>
    <t>793693C00</t>
  </si>
  <si>
    <t>793704C02</t>
  </si>
  <si>
    <t>793707C01</t>
  </si>
  <si>
    <t>793739C01</t>
  </si>
  <si>
    <t>793744C01</t>
  </si>
  <si>
    <t>793745C01</t>
  </si>
  <si>
    <t>793746C01</t>
  </si>
  <si>
    <t>793747C01</t>
  </si>
  <si>
    <t>793748C01</t>
  </si>
  <si>
    <t>793749C01</t>
  </si>
  <si>
    <t>793751C01</t>
  </si>
  <si>
    <t>793755C00</t>
  </si>
  <si>
    <t>793765C01</t>
  </si>
  <si>
    <t>793766C01</t>
  </si>
  <si>
    <t>793768C01</t>
  </si>
  <si>
    <t>793771C01</t>
  </si>
  <si>
    <t>793772C01</t>
  </si>
  <si>
    <t>793780C01</t>
  </si>
  <si>
    <t>793781C01</t>
  </si>
  <si>
    <t>793783C01</t>
  </si>
  <si>
    <t>793785C01</t>
  </si>
  <si>
    <t>793788C01</t>
  </si>
  <si>
    <t>793789C01</t>
  </si>
  <si>
    <t>793815C01</t>
  </si>
  <si>
    <t>793817C01</t>
  </si>
  <si>
    <t>793819C01</t>
  </si>
  <si>
    <t>793821C01</t>
  </si>
  <si>
    <t>793822C01</t>
  </si>
  <si>
    <t>793827C01</t>
  </si>
  <si>
    <t>793840C01</t>
  </si>
  <si>
    <t>793842C01</t>
  </si>
  <si>
    <t>793855C01</t>
  </si>
  <si>
    <t>793858C01</t>
  </si>
  <si>
    <t>793860C01</t>
  </si>
  <si>
    <t>793863C01</t>
  </si>
  <si>
    <t>793894C01</t>
  </si>
  <si>
    <t>793896C01</t>
  </si>
  <si>
    <t>793897C01</t>
  </si>
  <si>
    <t>793897C02</t>
  </si>
  <si>
    <t>793900C01</t>
  </si>
  <si>
    <t>793901C01</t>
  </si>
  <si>
    <t>793905C01</t>
  </si>
  <si>
    <t>793907C00</t>
  </si>
  <si>
    <t>793908C00</t>
  </si>
  <si>
    <t>793909C00</t>
  </si>
  <si>
    <t>793910C00</t>
  </si>
  <si>
    <t>793911C00</t>
  </si>
  <si>
    <t>793912C00</t>
  </si>
  <si>
    <t>793913C01</t>
  </si>
  <si>
    <t>793921C01</t>
  </si>
  <si>
    <t>793924C01</t>
  </si>
  <si>
    <t>793926C02</t>
  </si>
  <si>
    <t>793926C03</t>
  </si>
  <si>
    <t>793975C01</t>
  </si>
  <si>
    <t>793976C01</t>
  </si>
  <si>
    <t>793978C01</t>
  </si>
  <si>
    <t>793979C01</t>
  </si>
  <si>
    <t>793983C01</t>
  </si>
  <si>
    <t>793993C00</t>
  </si>
  <si>
    <t>793994C00</t>
  </si>
  <si>
    <t>793998C00</t>
  </si>
  <si>
    <t>794021C01</t>
  </si>
  <si>
    <t>794022C01</t>
  </si>
  <si>
    <t>794024C01</t>
  </si>
  <si>
    <t>794025C01</t>
  </si>
  <si>
    <t>794026C01</t>
  </si>
  <si>
    <t>794032C01</t>
  </si>
  <si>
    <t>794040C00</t>
  </si>
  <si>
    <t>794043C00</t>
  </si>
  <si>
    <t>794050C00</t>
  </si>
  <si>
    <t>794054C00</t>
  </si>
  <si>
    <t>794056C00</t>
  </si>
  <si>
    <t>794058C01</t>
  </si>
  <si>
    <t>794060C01</t>
  </si>
  <si>
    <t>794062C01</t>
  </si>
  <si>
    <t>794063C01</t>
  </si>
  <si>
    <t>794085C01</t>
  </si>
  <si>
    <t>794089C01</t>
  </si>
  <si>
    <t>794129C01</t>
  </si>
  <si>
    <t>794140C01</t>
  </si>
  <si>
    <t>794142C01</t>
  </si>
  <si>
    <t>794143C01</t>
  </si>
  <si>
    <t>794146C01</t>
  </si>
  <si>
    <t>794161C01</t>
  </si>
  <si>
    <t>794161C03</t>
  </si>
  <si>
    <t>794161C04</t>
  </si>
  <si>
    <t>794161C05</t>
  </si>
  <si>
    <t>794161C06</t>
  </si>
  <si>
    <t>794161C09</t>
  </si>
  <si>
    <t>794209C01</t>
  </si>
  <si>
    <t>794217C01</t>
  </si>
  <si>
    <t>794218C01</t>
  </si>
  <si>
    <t>794224C01</t>
  </si>
  <si>
    <t>794238C01</t>
  </si>
  <si>
    <t>794239C01</t>
  </si>
  <si>
    <t>794240C01</t>
  </si>
  <si>
    <t>794241C01</t>
  </si>
  <si>
    <t>794243C01</t>
  </si>
  <si>
    <t>794244C01</t>
  </si>
  <si>
    <t>794245C01</t>
  </si>
  <si>
    <t>794246C01</t>
  </si>
  <si>
    <t>794247C01</t>
  </si>
  <si>
    <t>794249C01</t>
  </si>
  <si>
    <t>794250C01</t>
  </si>
  <si>
    <t>794251C01</t>
  </si>
  <si>
    <t>794252C01</t>
  </si>
  <si>
    <t>794253C01</t>
  </si>
  <si>
    <t>794254C01</t>
  </si>
  <si>
    <t>794272C01</t>
  </si>
  <si>
    <t>794294C01</t>
  </si>
  <si>
    <t>794295C03</t>
  </si>
  <si>
    <t>794377C01</t>
  </si>
  <si>
    <t>796261PCZ</t>
  </si>
  <si>
    <t>796457CZ-05</t>
  </si>
  <si>
    <t>797012ENMX</t>
  </si>
  <si>
    <t>797173CZR-05</t>
  </si>
  <si>
    <t>797185EN160</t>
  </si>
  <si>
    <t>797200</t>
  </si>
  <si>
    <t>797261CZ</t>
  </si>
  <si>
    <t>797262CZ</t>
  </si>
  <si>
    <t>797263CZ</t>
  </si>
  <si>
    <t>797455</t>
  </si>
  <si>
    <t>797456</t>
  </si>
  <si>
    <t>797457</t>
  </si>
  <si>
    <t>797458</t>
  </si>
  <si>
    <t>797459</t>
  </si>
  <si>
    <t>797460</t>
  </si>
  <si>
    <t>797461</t>
  </si>
  <si>
    <t>797462</t>
  </si>
  <si>
    <t>797463</t>
  </si>
  <si>
    <t>797464</t>
  </si>
  <si>
    <t>797465</t>
  </si>
  <si>
    <t>797466</t>
  </si>
  <si>
    <t>797467</t>
  </si>
  <si>
    <t>797468</t>
  </si>
  <si>
    <t>797469</t>
  </si>
  <si>
    <t>797470</t>
  </si>
  <si>
    <t>797471</t>
  </si>
  <si>
    <t>797472</t>
  </si>
  <si>
    <t>797473</t>
  </si>
  <si>
    <t>797474</t>
  </si>
  <si>
    <t>797475</t>
  </si>
  <si>
    <t>797476</t>
  </si>
  <si>
    <t>797477</t>
  </si>
  <si>
    <t>797478</t>
  </si>
  <si>
    <t>797479</t>
  </si>
  <si>
    <t>797480</t>
  </si>
  <si>
    <t>797516</t>
  </si>
  <si>
    <t>797523ENMX</t>
  </si>
  <si>
    <t>797590</t>
  </si>
  <si>
    <t>797777EN16</t>
  </si>
  <si>
    <t>797863ENMX</t>
  </si>
  <si>
    <t>797868</t>
  </si>
  <si>
    <t>797879EN09</t>
  </si>
  <si>
    <t>797906NRGMX</t>
  </si>
  <si>
    <t>798009EN16</t>
  </si>
  <si>
    <t>798012FPC</t>
  </si>
  <si>
    <t>798015ENMX</t>
  </si>
  <si>
    <t>798016EN160</t>
  </si>
  <si>
    <t>798021CZ</t>
  </si>
  <si>
    <t>798027CZ</t>
  </si>
  <si>
    <t>798035</t>
  </si>
  <si>
    <t>798063EN124</t>
  </si>
  <si>
    <t>798064C01</t>
  </si>
  <si>
    <t>798064NMB</t>
  </si>
  <si>
    <t>798076CZ</t>
  </si>
  <si>
    <t>798081</t>
  </si>
  <si>
    <t>798106CZ</t>
  </si>
  <si>
    <t>798124EN16</t>
  </si>
  <si>
    <t>798397NBCB</t>
  </si>
  <si>
    <t>798413C00</t>
  </si>
  <si>
    <t>798414C01</t>
  </si>
  <si>
    <t>798415C01</t>
  </si>
  <si>
    <t>798416C01</t>
  </si>
  <si>
    <t>798417C01</t>
  </si>
  <si>
    <t>798418C01</t>
  </si>
  <si>
    <t>798419C01</t>
  </si>
  <si>
    <t>798422C01</t>
  </si>
  <si>
    <t>798423C01</t>
  </si>
  <si>
    <t>798424C01</t>
  </si>
  <si>
    <t>798426C01</t>
  </si>
  <si>
    <t>798428C01</t>
  </si>
  <si>
    <t>798430C01</t>
  </si>
  <si>
    <t>798431C01</t>
  </si>
  <si>
    <t>798434C01</t>
  </si>
  <si>
    <t>798485C01</t>
  </si>
  <si>
    <t>798571C00</t>
  </si>
  <si>
    <t>798614C01</t>
  </si>
  <si>
    <t>798692C01</t>
  </si>
  <si>
    <t>798747C01</t>
  </si>
  <si>
    <t>798761C01</t>
  </si>
  <si>
    <t>798763C00</t>
  </si>
  <si>
    <t>798764C01-05</t>
  </si>
  <si>
    <t>798772C02</t>
  </si>
  <si>
    <t>798825C00</t>
  </si>
  <si>
    <t>798844C01</t>
  </si>
  <si>
    <t>798848C01</t>
  </si>
  <si>
    <t>798869C00</t>
  </si>
  <si>
    <t>798872C00</t>
  </si>
  <si>
    <t>798873C01</t>
  </si>
  <si>
    <t>798875C00</t>
  </si>
  <si>
    <t>798880C02</t>
  </si>
  <si>
    <t>798887C01</t>
  </si>
  <si>
    <t>798888C01</t>
  </si>
  <si>
    <t>798896C01</t>
  </si>
  <si>
    <t>798905C01</t>
  </si>
  <si>
    <t>798907C01</t>
  </si>
  <si>
    <t>798927C00</t>
  </si>
  <si>
    <t>798938C00</t>
  </si>
  <si>
    <t>798939C01</t>
  </si>
  <si>
    <t>798939C02</t>
  </si>
  <si>
    <t>798950C00</t>
  </si>
  <si>
    <t>798962C01</t>
  </si>
  <si>
    <t>799014C01</t>
  </si>
  <si>
    <t>799015C01</t>
  </si>
  <si>
    <t>799072C01</t>
  </si>
  <si>
    <t>799088C00</t>
  </si>
  <si>
    <t>799144C00</t>
  </si>
  <si>
    <t>799149C00</t>
  </si>
  <si>
    <t>799153C01</t>
  </si>
  <si>
    <t>799157C01</t>
  </si>
  <si>
    <t>799171C01</t>
  </si>
  <si>
    <t>799183C00</t>
  </si>
  <si>
    <t>799187C01</t>
  </si>
  <si>
    <t>799212C01</t>
  </si>
  <si>
    <t>799218C01</t>
  </si>
  <si>
    <t>799218C02</t>
  </si>
  <si>
    <t>799270C01</t>
  </si>
  <si>
    <t>799293C00-05</t>
  </si>
  <si>
    <t>799294C01</t>
  </si>
  <si>
    <t>799320C01</t>
  </si>
  <si>
    <t>799322C01</t>
  </si>
  <si>
    <t>799352C01</t>
  </si>
  <si>
    <t>799360C00</t>
  </si>
  <si>
    <t>799383C01</t>
  </si>
  <si>
    <t>799392C01</t>
  </si>
  <si>
    <t>799393C00</t>
  </si>
  <si>
    <t>799402C01</t>
  </si>
  <si>
    <t>799428C01</t>
  </si>
  <si>
    <t>799429C01</t>
  </si>
  <si>
    <t>799435C01</t>
  </si>
  <si>
    <t>799439C00</t>
  </si>
  <si>
    <t>799535C00</t>
  </si>
  <si>
    <t>799536C00</t>
  </si>
  <si>
    <t>799538C01</t>
  </si>
  <si>
    <t>799540C01</t>
  </si>
  <si>
    <t>799545C01</t>
  </si>
  <si>
    <t>799546C01</t>
  </si>
  <si>
    <t>799599C01</t>
  </si>
  <si>
    <t>799637C01</t>
  </si>
  <si>
    <t>799643C01</t>
  </si>
  <si>
    <t>799645C01</t>
  </si>
  <si>
    <t>799646C01</t>
  </si>
  <si>
    <t>799660C02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</si>
</sst>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#,##0.00;[$€-2]\-#,##0.00"/>
  </numFmts>
  <fonts count="5" x14ac:knownFonts="1">
    <font>
      <sz val="11"/>
      <color indexed="8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name val="Calibri"/>
    </font>
    <font>
      <u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us.pandora.net/on/demandware.static/-/Sites-pandora-master-catalog/default/dwbb259ca6/productimages/singlepackshot/263269C00_RGB.png" TargetMode="External"/><Relationship Id="rId3182" Type="http://schemas.openxmlformats.org/officeDocument/2006/relationships/hyperlink" Target="https://us.pandora.net/on/demandware.static/-/Sites-pandora-master-catalog/default/dwbb259ca6/productimages/singlepackshot/792987C01_RGB.png" TargetMode="External"/><Relationship Id="rId3042" Type="http://schemas.openxmlformats.org/officeDocument/2006/relationships/hyperlink" Target="https://us.pandora.net/on/demandware.static/-/Sites-pandora-master-catalog/default/dwbb259ca6/productimages/singlepackshot/790777C02_RGB.png" TargetMode="External"/><Relationship Id="rId170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987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2668" Type="http://schemas.openxmlformats.org/officeDocument/2006/relationships/hyperlink" Target="https://us.pandora.net/on/demandware.static/-/Sites-pandora-master-catalog/default/dwbb259ca6/productimages/singlepackshot/597770CZ_RGB.png" TargetMode="External"/><Relationship Id="rId2875" Type="http://schemas.openxmlformats.org/officeDocument/2006/relationships/hyperlink" Target="https://us.pandora.net/on/demandware.static/-/Sites-pandora-master-catalog/default/dwbb259ca6/productimages/singlepackshot/763825C01_RGB.png" TargetMode="External"/><Relationship Id="rId847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477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1684" Type="http://schemas.openxmlformats.org/officeDocument/2006/relationships/hyperlink" Target="https://us.pandora.net/on/demandware.static/-/Sites-pandora-master-catalog/default/dwbb259ca6/productimages/singlepackshot/198018_RGB.png" TargetMode="External"/><Relationship Id="rId1891" Type="http://schemas.openxmlformats.org/officeDocument/2006/relationships/hyperlink" Target="https://us.pandora.net/on/demandware.static/-/Sites-pandora-master-catalog/default/dwbb259ca6/productimages/singlepackshot/291248C01_RGB.png" TargetMode="External"/><Relationship Id="rId2528" Type="http://schemas.openxmlformats.org/officeDocument/2006/relationships/hyperlink" Target="https://us.pandora.net/on/demandware.static/-/Sites-pandora-master-catalog/default/dwbb259ca6/productimages/singlepackshot/592793C00_RGB.png" TargetMode="External"/><Relationship Id="rId2735" Type="http://schemas.openxmlformats.org/officeDocument/2006/relationships/hyperlink" Target="https://us.pandora.net/on/demandware.static/-/Sites-pandora-master-catalog/default/dwbb259ca6/productimages/singlepackshot/599523C00_RGB.png" TargetMode="External"/><Relationship Id="rId2942" Type="http://schemas.openxmlformats.org/officeDocument/2006/relationships/hyperlink" Target="https://us.pandora.net/on/demandware.static/-/Sites-pandora-master-catalog/default/dwbb259ca6/productimages/singlepackshot/764216C01_RGB.png" TargetMode="External"/><Relationship Id="rId707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914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337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544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1751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2802" Type="http://schemas.openxmlformats.org/officeDocument/2006/relationships/hyperlink" Target="https://us.pandora.net/on/demandware.static/-/Sites-pandora-master-catalog/default/dwbb259ca6/productimages/singlepackshot/762764C01_RGB.png" TargetMode="External"/><Relationship Id="rId43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404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611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3369" Type="http://schemas.openxmlformats.org/officeDocument/2006/relationships/hyperlink" Target="https://us.pandora.net/on/demandware.static/-/Sites-pandora-master-catalog/default/dwbb259ca6/productimages/singlepackshot/794032C01_RGB.png" TargetMode="External"/><Relationship Id="rId497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2178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2385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3229" Type="http://schemas.openxmlformats.org/officeDocument/2006/relationships/hyperlink" Target="https://us.pandora.net/on/demandware.static/-/Sites-pandora-master-catalog/default/dwbb259ca6/productimages/singlepackshot/793337C01_RGB.png" TargetMode="External"/><Relationship Id="rId357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1194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38" Type="http://schemas.openxmlformats.org/officeDocument/2006/relationships/hyperlink" Target="https://us.pandora.net/on/demandware.static/-/Sites-pandora-master-catalog/default/dwbb259ca6/productimages/singlepackshot/392387C01_RGB.png" TargetMode="External"/><Relationship Id="rId2592" Type="http://schemas.openxmlformats.org/officeDocument/2006/relationships/hyperlink" Target="https://us.pandora.net/on/demandware.static/-/Sites-pandora-master-catalog/default/dwbb259ca6/productimages/singlepackshot/593655C01_RGB.png" TargetMode="External"/><Relationship Id="rId3436" Type="http://schemas.openxmlformats.org/officeDocument/2006/relationships/hyperlink" Target="https://us.pandora.net/on/demandware.static/-/Sites-pandora-master-catalog/default/dwbb259ca6/productimages/singlepackshot/797467_RGB.png" TargetMode="External"/><Relationship Id="rId217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564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771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2245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2452" Type="http://schemas.openxmlformats.org/officeDocument/2006/relationships/hyperlink" Target="https://us.pandora.net/on/demandware.static/-/Sites-pandora-master-catalog/default/dwbb259ca6/productimages/singlepackshot/590728_RGB.png" TargetMode="External"/><Relationship Id="rId3503" Type="http://schemas.openxmlformats.org/officeDocument/2006/relationships/hyperlink" Target="https://us.pandora.net/on/demandware.static/-/Sites-pandora-master-catalog/default/dwbb259ca6/productimages/singlepackshot/798875C00_RGB.png" TargetMode="External"/><Relationship Id="rId424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631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1054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1261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2105" Type="http://schemas.openxmlformats.org/officeDocument/2006/relationships/hyperlink" Target="https://us.pandora.net/on/demandware.static/-/Sites-pandora-master-catalog/default/dwbb259ca6/productimages/singlepackshot/398611C00_RGB.png" TargetMode="External"/><Relationship Id="rId2312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1121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3086" Type="http://schemas.openxmlformats.org/officeDocument/2006/relationships/hyperlink" Target="https://us.pandora.net/on/demandware.static/-/Sites-pandora-master-catalog/default/dwbb259ca6/productimages/singlepackshot/791892_RGB.png" TargetMode="External"/><Relationship Id="rId3293" Type="http://schemas.openxmlformats.org/officeDocument/2006/relationships/hyperlink" Target="https://us.pandora.net/on/demandware.static/-/Sites-pandora-master-catalog/default/dwbb259ca6/productimages/singlepackshot/793649C01_RGB.png" TargetMode="External"/><Relationship Id="rId1938" Type="http://schemas.openxmlformats.org/officeDocument/2006/relationships/hyperlink" Target="https://us.pandora.net/on/demandware.static/-/Sites-pandora-master-catalog/default/dwbb259ca6/productimages/singlepackshot/293505C01_RGB.png" TargetMode="External"/><Relationship Id="rId3153" Type="http://schemas.openxmlformats.org/officeDocument/2006/relationships/hyperlink" Target="https://us.pandora.net/on/demandware.static/-/Sites-pandora-master-catalog/default/dwbb259ca6/productimages/singlepackshot/792698C01_RGB.png" TargetMode="External"/><Relationship Id="rId3360" Type="http://schemas.openxmlformats.org/officeDocument/2006/relationships/hyperlink" Target="https://us.pandora.net/on/demandware.static/-/Sites-pandora-master-catalog/default/dwbb259ca6/productimages/singlepackshot/793983C01_RGB.png" TargetMode="External"/><Relationship Id="rId281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3013" Type="http://schemas.openxmlformats.org/officeDocument/2006/relationships/hyperlink" Target="https://us.pandora.net/on/demandware.static/-/Sites-pandora-master-catalog/default/dwbb259ca6/productimages/singlepackshot/789218C01_RGB.png" TargetMode="External"/><Relationship Id="rId141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3220" Type="http://schemas.openxmlformats.org/officeDocument/2006/relationships/hyperlink" Target="https://us.pandora.net/on/demandware.static/-/Sites-pandora-master-catalog/default/dwbb259ca6/productimages/singlepackshot/793202C01_RGB.png" TargetMode="External"/><Relationship Id="rId7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779" Type="http://schemas.openxmlformats.org/officeDocument/2006/relationships/hyperlink" Target="https://us.pandora.net/on/demandware.static/-/Sites-pandora-master-catalog/default/dwbb259ca6/productimages/singlepackshot/762526C00_RGB.png" TargetMode="External"/><Relationship Id="rId2986" Type="http://schemas.openxmlformats.org/officeDocument/2006/relationships/hyperlink" Target="https://us.pandora.net/on/demandware.static/-/Sites-pandora-master-catalog/default/dwbb259ca6/productimages/singlepackshot/782698C01_RGB.png" TargetMode="External"/><Relationship Id="rId958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588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1795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2639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2846" Type="http://schemas.openxmlformats.org/officeDocument/2006/relationships/hyperlink" Target="https://us.pandora.net/on/demandware.static/-/Sites-pandora-master-catalog/default/dwbb259ca6/productimages/singlepackshot/763515C01_RGB.png" TargetMode="External"/><Relationship Id="rId87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818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1448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655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2706" Type="http://schemas.openxmlformats.org/officeDocument/2006/relationships/hyperlink" Target="https://us.pandora.net/on/demandware.static/-/Sites-pandora-master-catalog/default/dwbb259ca6/productimages/singlepackshot/599190C01_RGB.png" TargetMode="External"/><Relationship Id="rId1308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862" Type="http://schemas.openxmlformats.org/officeDocument/2006/relationships/hyperlink" Target="https://us.pandora.net/on/demandware.static/-/Sites-pandora-master-catalog/default/dwbb259ca6/productimages/singlepackshot/268427C01_RGB.png" TargetMode="External"/><Relationship Id="rId2913" Type="http://schemas.openxmlformats.org/officeDocument/2006/relationships/hyperlink" Target="https://us.pandora.net/on/demandware.static/-/Sites-pandora-master-catalog/default/dwbb259ca6/productimages/singlepackshot/763985C01_RGB.png" TargetMode="External"/><Relationship Id="rId1515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1722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14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2289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2496" Type="http://schemas.openxmlformats.org/officeDocument/2006/relationships/hyperlink" Target="https://us.pandora.net/on/demandware.static/-/Sites-pandora-master-catalog/default/dwbb259ca6/productimages/singlepackshot/591683C01_RGB.png" TargetMode="External"/><Relationship Id="rId3547" Type="http://schemas.openxmlformats.org/officeDocument/2006/relationships/hyperlink" Target="https://us.pandora.net/on/demandware.static/-/Sites-pandora-master-catalog/default/dwbb259ca6/productimages/singlepackshot/799538C01_RGB.png" TargetMode="External"/><Relationship Id="rId468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675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882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1098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2149" Type="http://schemas.openxmlformats.org/officeDocument/2006/relationships/hyperlink" Target="https://us.pandora.net/on/demandware.static/-/Sites-pandora-master-catalog/default/dwbb259ca6/productimages/singlepackshot/562793C00_RGB.png" TargetMode="External"/><Relationship Id="rId2356" Type="http://schemas.openxmlformats.org/officeDocument/2006/relationships/hyperlink" Target="https://us.pandora.net/on/demandware.static/-/Sites-pandora-master-catalog/default/dwbb259ca6/productimages/singlepackshot/583090C00_RGB.png" TargetMode="External"/><Relationship Id="rId2563" Type="http://schemas.openxmlformats.org/officeDocument/2006/relationships/hyperlink" Target="https://us.pandora.net/on/demandware.static/-/Sites-pandora-master-catalog/default/dwbb259ca6/productimages/singlepackshot/593361C01_RGB.png" TargetMode="External"/><Relationship Id="rId2770" Type="http://schemas.openxmlformats.org/officeDocument/2006/relationships/hyperlink" Target="https://us.pandora.net/on/demandware.static/-/Sites-pandora-master-catalog/default/dwbb259ca6/productimages/singlepackshot/760765C01_RGB.png" TargetMode="External"/><Relationship Id="rId3407" Type="http://schemas.openxmlformats.org/officeDocument/2006/relationships/hyperlink" Target="https://us.pandora.net/on/demandware.static/-/Sites-pandora-master-catalog/default/dwbb259ca6/productimages/singlepackshot/794251C01_RGB.png" TargetMode="External"/><Relationship Id="rId328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535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742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1165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1372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2009" Type="http://schemas.openxmlformats.org/officeDocument/2006/relationships/hyperlink" Target="https://us.pandora.net/on/demandware.static/-/Sites-pandora-master-catalog/default/dwbb259ca6/productimages/singlepackshot/367436C01_RGB.png" TargetMode="External"/><Relationship Id="rId2216" Type="http://schemas.openxmlformats.org/officeDocument/2006/relationships/hyperlink" Target="https://us.pandora.net/on/demandware.static/-/Sites-pandora-master-catalog/default/dwbb259ca6/productimages/singlepackshot/563808C00_RGB.png" TargetMode="External"/><Relationship Id="rId2423" Type="http://schemas.openxmlformats.org/officeDocument/2006/relationships/hyperlink" Target="https://us.pandora.net/on/demandware.static/-/Sites-pandora-master-catalog/default/dwbb259ca6/productimages/singlepackshot/590412_RGB.png" TargetMode="External"/><Relationship Id="rId2630" Type="http://schemas.openxmlformats.org/officeDocument/2006/relationships/hyperlink" Target="https://us.pandora.net/on/demandware.static/-/Sites-pandora-master-catalog/default/dwbb259ca6/productimages/singlepackshot/593927C01_RGB.png" TargetMode="External"/><Relationship Id="rId602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1025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232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3197" Type="http://schemas.openxmlformats.org/officeDocument/2006/relationships/hyperlink" Target="https://us.pandora.net/on/demandware.static/-/Sites-pandora-master-catalog/default/dwbb259ca6/productimages/singlepackshot/793084C00_RGB.png" TargetMode="External"/><Relationship Id="rId3057" Type="http://schemas.openxmlformats.org/officeDocument/2006/relationships/hyperlink" Target="https://us.pandora.net/on/demandware.static/-/Sites-pandora-master-catalog/default/dwbb259ca6/productimages/singlepackshot/791359CZ_RGB.png" TargetMode="External"/><Relationship Id="rId185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1909" Type="http://schemas.openxmlformats.org/officeDocument/2006/relationships/hyperlink" Target="https://us.pandora.net/on/demandware.static/-/Sites-pandora-master-catalog/default/dwbb259ca6/productimages/singlepackshot/292633C01_RGB.png" TargetMode="External"/><Relationship Id="rId3264" Type="http://schemas.openxmlformats.org/officeDocument/2006/relationships/hyperlink" Target="https://us.pandora.net/on/demandware.static/-/Sites-pandora-master-catalog/default/dwbb259ca6/productimages/singlepackshot/793452C01_RGB.png" TargetMode="External"/><Relationship Id="rId3471" Type="http://schemas.openxmlformats.org/officeDocument/2006/relationships/hyperlink" Target="https://us.pandora.net/on/demandware.static/-/Sites-pandora-master-catalog/default/dwbb259ca6/productimages/singlepackshot/798124EN16_RGB.png" TargetMode="External"/><Relationship Id="rId392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2073" Type="http://schemas.openxmlformats.org/officeDocument/2006/relationships/hyperlink" Target="https://us.pandora.net/on/demandware.static/-/Sites-pandora-master-catalog/default/dwbb259ca6/productimages/singlepackshot/393632C01_RGB.png" TargetMode="External"/><Relationship Id="rId2280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3124" Type="http://schemas.openxmlformats.org/officeDocument/2006/relationships/hyperlink" Target="https://us.pandora.net/on/demandware.static/-/Sites-pandora-master-catalog/default/dwbb259ca6/productimages/singlepackshot/792323C01_RGB.png" TargetMode="External"/><Relationship Id="rId3331" Type="http://schemas.openxmlformats.org/officeDocument/2006/relationships/hyperlink" Target="https://us.pandora.net/on/demandware.static/-/Sites-pandora-master-catalog/default/dwbb259ca6/productimages/singlepackshot/793827C01_RGB.png" TargetMode="External"/><Relationship Id="rId252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2140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112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1699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2000" Type="http://schemas.openxmlformats.org/officeDocument/2006/relationships/hyperlink" Target="https://us.pandora.net/on/demandware.static/-/Sites-pandora-master-catalog/default/dwbb259ca6/productimages/singlepackshot/363882C00_RGB.png" TargetMode="External"/><Relationship Id="rId2957" Type="http://schemas.openxmlformats.org/officeDocument/2006/relationships/hyperlink" Target="https://us.pandora.net/on/demandware.static/-/Sites-pandora-master-catalog/default/dwbb259ca6/productimages/singlepackshot/769144C00_RGB.png" TargetMode="External"/><Relationship Id="rId929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559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1766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1973" Type="http://schemas.openxmlformats.org/officeDocument/2006/relationships/hyperlink" Target="https://us.pandora.net/on/demandware.static/-/Sites-pandora-master-catalog/default/dwbb259ca6/productimages/singlepackshot/298820C01_RGB.png" TargetMode="External"/><Relationship Id="rId2817" Type="http://schemas.openxmlformats.org/officeDocument/2006/relationships/hyperlink" Target="https://us.pandora.net/on/demandware.static/-/Sites-pandora-master-catalog/default/dwbb259ca6/productimages/singlepackshot/763330C01_RGB.png" TargetMode="External"/><Relationship Id="rId58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419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1626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1833" Type="http://schemas.openxmlformats.org/officeDocument/2006/relationships/hyperlink" Target="https://us.pandora.net/on/demandware.static/-/Sites-pandora-master-catalog/default/dwbb259ca6/productimages/singlepackshot/263290C00_RGB.png" TargetMode="External"/><Relationship Id="rId1900" Type="http://schemas.openxmlformats.org/officeDocument/2006/relationships/hyperlink" Target="https://us.pandora.net/on/demandware.static/-/Sites-pandora-master-catalog/default/dwbb259ca6/productimages/singlepackshot/292334C08_RGB.png" TargetMode="External"/><Relationship Id="rId579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786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993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2467" Type="http://schemas.openxmlformats.org/officeDocument/2006/relationships/hyperlink" Target="https://us.pandora.net/on/demandware.static/-/Sites-pandora-master-catalog/default/dwbb259ca6/productimages/singlepackshot/590745CBK_RGB.png" TargetMode="External"/><Relationship Id="rId2674" Type="http://schemas.openxmlformats.org/officeDocument/2006/relationships/hyperlink" Target="https://us.pandora.net/on/demandware.static/-/Sites-pandora-master-catalog/default/dwbb259ca6/productimages/singlepackshot/598342CZ_RGB.png" TargetMode="External"/><Relationship Id="rId3518" Type="http://schemas.openxmlformats.org/officeDocument/2006/relationships/hyperlink" Target="https://us.pandora.net/on/demandware.static/-/Sites-pandora-master-catalog/default/dwbb259ca6/productimages/singlepackshot/799072C01_RGB.png" TargetMode="External"/><Relationship Id="rId439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646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1069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1276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1483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2327" Type="http://schemas.openxmlformats.org/officeDocument/2006/relationships/hyperlink" Target="https://us.pandora.net/on/demandware.static/-/Sites-pandora-master-catalog/default/dwbb259ca6/productimages/singlepackshot/580719_RGB.png" TargetMode="External"/><Relationship Id="rId2881" Type="http://schemas.openxmlformats.org/officeDocument/2006/relationships/hyperlink" Target="https://us.pandora.net/on/demandware.static/-/Sites-pandora-master-catalog/default/dwbb259ca6/productimages/singlepackshot/763895C01_RGB.png" TargetMode="External"/><Relationship Id="rId506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853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1136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690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2534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741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713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920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343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550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2601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1203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10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3168" Type="http://schemas.openxmlformats.org/officeDocument/2006/relationships/hyperlink" Target="https://us.pandora.net/on/demandware.static/-/Sites-pandora-master-catalog/default/dwbb259ca6/productimages/singlepackshot/792817C01_RGB.png" TargetMode="External"/><Relationship Id="rId3375" Type="http://schemas.openxmlformats.org/officeDocument/2006/relationships/hyperlink" Target="https://us.pandora.net/on/demandware.static/-/Sites-pandora-master-catalog/default/dwbb259ca6/productimages/singlepackshot/794058C01_RGB.png" TargetMode="External"/><Relationship Id="rId296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2184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2391" Type="http://schemas.openxmlformats.org/officeDocument/2006/relationships/hyperlink" Target="https://us.pandora.net/on/demandware.static/-/Sites-pandora-master-catalog/default/dwbb259ca6/productimages/singlepackshot/589662C00_RGB.png" TargetMode="External"/><Relationship Id="rId3028" Type="http://schemas.openxmlformats.org/officeDocument/2006/relationships/hyperlink" Target="https://us.pandora.net/on/demandware.static/-/Sites-pandora-master-catalog/default/dwbb259ca6/productimages/singlepackshot/790065C09_RGB.png" TargetMode="External"/><Relationship Id="rId3235" Type="http://schemas.openxmlformats.org/officeDocument/2006/relationships/hyperlink" Target="https://us.pandora.net/on/demandware.static/-/Sites-pandora-master-catalog/default/dwbb259ca6/productimages/singlepackshot/793337C07_RGB.png" TargetMode="External"/><Relationship Id="rId3442" Type="http://schemas.openxmlformats.org/officeDocument/2006/relationships/hyperlink" Target="https://us.pandora.net/on/demandware.static/-/Sites-pandora-master-catalog/default/dwbb259ca6/productimages/singlepackshot/797473_RGB.png" TargetMode="External"/><Relationship Id="rId156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363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570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2044" Type="http://schemas.openxmlformats.org/officeDocument/2006/relationships/hyperlink" Target="https://us.pandora.net/on/demandware.static/-/Sites-pandora-master-catalog/default/dwbb259ca6/productimages/singlepackshot/392736C01_RGB.png" TargetMode="External"/><Relationship Id="rId2251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3302" Type="http://schemas.openxmlformats.org/officeDocument/2006/relationships/hyperlink" Target="https://us.pandora.net/on/demandware.static/-/Sites-pandora-master-catalog/default/dwbb259ca6/productimages/singlepackshot/793688C01_RGB.png" TargetMode="External"/><Relationship Id="rId223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430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1060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2111" Type="http://schemas.openxmlformats.org/officeDocument/2006/relationships/hyperlink" Target="https://us.pandora.net/on/demandware.static/-/Sites-pandora-master-catalog/default/dwbb259ca6/productimages/singlepackshot/399567C00_RGB.png" TargetMode="External"/><Relationship Id="rId1877" Type="http://schemas.openxmlformats.org/officeDocument/2006/relationships/hyperlink" Target="https://us.pandora.net/on/demandware.static/-/Sites-pandora-master-catalog/default/dwbb259ca6/productimages/singlepackshot/288820C01_RGB.png" TargetMode="External"/><Relationship Id="rId2928" Type="http://schemas.openxmlformats.org/officeDocument/2006/relationships/hyperlink" Target="https://us.pandora.net/on/demandware.static/-/Sites-pandora-master-catalog/default/dwbb259ca6/productimages/singlepackshot/764078C01_RGB.png" TargetMode="External"/><Relationship Id="rId1737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1944" Type="http://schemas.openxmlformats.org/officeDocument/2006/relationships/hyperlink" Target="https://us.pandora.net/on/demandware.static/-/Sites-pandora-master-catalog/default/dwbb259ca6/productimages/singlepackshot/293545C01_RGB.png" TargetMode="External"/><Relationship Id="rId3092" Type="http://schemas.openxmlformats.org/officeDocument/2006/relationships/hyperlink" Target="https://us.pandora.net/on/demandware.static/-/Sites-pandora-master-catalog/default/dwbb259ca6/productimages/singlepackshot/791978_RGB.png" TargetMode="External"/><Relationship Id="rId29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1804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897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2578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2785" Type="http://schemas.openxmlformats.org/officeDocument/2006/relationships/hyperlink" Target="https://us.pandora.net/on/demandware.static/-/Sites-pandora-master-catalog/default/dwbb259ca6/productimages/singlepackshot/762685C01_RGB.png" TargetMode="External"/><Relationship Id="rId2992" Type="http://schemas.openxmlformats.org/officeDocument/2006/relationships/hyperlink" Target="https://us.pandora.net/on/demandware.static/-/Sites-pandora-master-catalog/default/dwbb259ca6/productimages/singlepackshot/783079C01_RGB.png" TargetMode="External"/><Relationship Id="rId757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964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387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1594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2438" Type="http://schemas.openxmlformats.org/officeDocument/2006/relationships/hyperlink" Target="https://us.pandora.net/on/demandware.static/-/Sites-pandora-master-catalog/default/dwbb259ca6/productimages/singlepackshot/590719_RGB.png" TargetMode="External"/><Relationship Id="rId2645" Type="http://schemas.openxmlformats.org/officeDocument/2006/relationships/hyperlink" Target="https://us.pandora.net/on/demandware.static/-/Sites-pandora-master-catalog/default/dwbb259ca6/productimages/singlepackshot/594226C01_RGB.png" TargetMode="External"/><Relationship Id="rId2852" Type="http://schemas.openxmlformats.org/officeDocument/2006/relationships/hyperlink" Target="https://us.pandora.net/on/demandware.static/-/Sites-pandora-master-catalog/default/dwbb259ca6/productimages/singlepackshot/763602C00_RGB.png" TargetMode="External"/><Relationship Id="rId93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617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824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1247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454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661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2505" Type="http://schemas.openxmlformats.org/officeDocument/2006/relationships/hyperlink" Target="https://us.pandora.net/on/demandware.static/-/Sites-pandora-master-catalog/default/dwbb259ca6/productimages/singlepackshot/592340C00_RGB.png" TargetMode="External"/><Relationship Id="rId2712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1107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314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521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3279" Type="http://schemas.openxmlformats.org/officeDocument/2006/relationships/hyperlink" Target="https://us.pandora.net/on/demandware.static/-/Sites-pandora-master-catalog/default/dwbb259ca6/productimages/singlepackshot/793586C01_RGB.png" TargetMode="External"/><Relationship Id="rId3486" Type="http://schemas.openxmlformats.org/officeDocument/2006/relationships/hyperlink" Target="https://us.pandora.net/on/demandware.static/-/Sites-pandora-master-catalog/default/dwbb259ca6/productimages/singlepackshot/798431C01_RGB.png" TargetMode="External"/><Relationship Id="rId20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2088" Type="http://schemas.openxmlformats.org/officeDocument/2006/relationships/hyperlink" Target="https://us.pandora.net/on/demandware.static/-/Sites-pandora-master-catalog/default/dwbb259ca6/productimages/singlepackshot/394014C00_RGB.png" TargetMode="External"/><Relationship Id="rId2295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3139" Type="http://schemas.openxmlformats.org/officeDocument/2006/relationships/hyperlink" Target="https://us.pandora.net/on/demandware.static/-/Sites-pandora-master-catalog/default/dwbb259ca6/productimages/singlepackshot/792573C01_RGB.png" TargetMode="External"/><Relationship Id="rId3346" Type="http://schemas.openxmlformats.org/officeDocument/2006/relationships/hyperlink" Target="https://us.pandora.net/on/demandware.static/-/Sites-pandora-master-catalog/default/dwbb259ca6/productimages/singlepackshot/793908C00_RGB.png" TargetMode="External"/><Relationship Id="rId267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474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2155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3553" Type="http://schemas.openxmlformats.org/officeDocument/2006/relationships/hyperlink" Target="https://us.pandora.net/on/demandware.static/-/Sites-pandora-master-catalog/default/dwbb259ca6/productimages/singlepackshot/799643C01_RGB.png" TargetMode="External"/><Relationship Id="rId127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681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2362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3206" Type="http://schemas.openxmlformats.org/officeDocument/2006/relationships/hyperlink" Target="https://us.pandora.net/on/demandware.static/-/Sites-pandora-master-catalog/default/dwbb259ca6/productimages/singlepackshot/793118C00_RGB.png" TargetMode="External"/><Relationship Id="rId3413" Type="http://schemas.openxmlformats.org/officeDocument/2006/relationships/hyperlink" Target="https://us.pandora.net/on/demandware.static/-/Sites-pandora-master-catalog/default/dwbb259ca6/productimages/singlepackshot/794295C03_RGB.png" TargetMode="External"/><Relationship Id="rId334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541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1171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2015" Type="http://schemas.openxmlformats.org/officeDocument/2006/relationships/hyperlink" Target="https://us.pandora.net/on/demandware.static/-/Sites-pandora-master-catalog/default/dwbb259ca6/productimages/singlepackshot/368727C00_RGB.png" TargetMode="External"/><Relationship Id="rId2222" Type="http://schemas.openxmlformats.org/officeDocument/2006/relationships/hyperlink" Target="https://us.pandora.net/on/demandware.static/-/Sites-pandora-master-catalog/default/dwbb259ca6/productimages/singlepackshot/563811C00_RGB.png" TargetMode="External"/><Relationship Id="rId401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1031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988" Type="http://schemas.openxmlformats.org/officeDocument/2006/relationships/hyperlink" Target="https://us.pandora.net/on/demandware.static/-/Sites-pandora-master-catalog/default/dwbb259ca6/productimages/singlepackshot/363167C01_RGB.png" TargetMode="External"/><Relationship Id="rId1848" Type="http://schemas.openxmlformats.org/officeDocument/2006/relationships/hyperlink" Target="https://us.pandora.net/on/demandware.static/-/Sites-pandora-master-catalog/default/dwbb259ca6/productimages/singlepackshot/263851C02_RGB.png" TargetMode="External"/><Relationship Id="rId3063" Type="http://schemas.openxmlformats.org/officeDocument/2006/relationships/hyperlink" Target="https://us.pandora.net/on/demandware.static/-/Sites-pandora-master-catalog/default/dwbb259ca6/productimages/singlepackshot/791583C01_RGB.png" TargetMode="External"/><Relationship Id="rId3270" Type="http://schemas.openxmlformats.org/officeDocument/2006/relationships/hyperlink" Target="https://us.pandora.net/on/demandware.static/-/Sites-pandora-master-catalog/default/dwbb259ca6/productimages/singlepackshot/793532C01_RGB.png" TargetMode="External"/><Relationship Id="rId191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1708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1915" Type="http://schemas.openxmlformats.org/officeDocument/2006/relationships/hyperlink" Target="https://us.pandora.net/on/demandware.static/-/Sites-pandora-master-catalog/default/dwbb259ca6/productimages/singlepackshot/293003C01_RGB.png" TargetMode="External"/><Relationship Id="rId3130" Type="http://schemas.openxmlformats.org/officeDocument/2006/relationships/hyperlink" Target="https://us.pandora.net/on/demandware.static/-/Sites-pandora-master-catalog/default/dwbb259ca6/productimages/singlepackshot/792369C01_RGB.png" TargetMode="External"/><Relationship Id="rId2689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2896" Type="http://schemas.openxmlformats.org/officeDocument/2006/relationships/hyperlink" Target="https://us.pandora.net/on/demandware.static/-/Sites-pandora-master-catalog/default/dwbb259ca6/productimages/singlepackshot/763957C00_RGB.png" TargetMode="External"/><Relationship Id="rId868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498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2549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2756" Type="http://schemas.openxmlformats.org/officeDocument/2006/relationships/hyperlink" Target="https://us.pandora.net/on/demandware.static/-/Sites-pandora-master-catalog/default/dwbb259ca6/productimages/singlepackshot/599662C00_RGB.png" TargetMode="External"/><Relationship Id="rId2963" Type="http://schemas.openxmlformats.org/officeDocument/2006/relationships/hyperlink" Target="https://us.pandora.net/on/demandware.static/-/Sites-pandora-master-catalog/default/dwbb259ca6/productimages/singlepackshot/769435C01_RGB.png" TargetMode="External"/><Relationship Id="rId728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935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358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1565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1772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2409" Type="http://schemas.openxmlformats.org/officeDocument/2006/relationships/hyperlink" Target="https://us.pandora.net/on/demandware.static/-/Sites-pandora-master-catalog/default/dwbb259ca6/productimages/singlepackshot/590041C03_RGB.png" TargetMode="External"/><Relationship Id="rId2616" Type="http://schemas.openxmlformats.org/officeDocument/2006/relationships/hyperlink" Target="https://us.pandora.net/on/demandware.static/-/Sites-pandora-master-catalog/default/dwbb259ca6/productimages/singlepackshot/593816C01_RGB.png" TargetMode="External"/><Relationship Id="rId64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218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425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2823" Type="http://schemas.openxmlformats.org/officeDocument/2006/relationships/hyperlink" Target="https://us.pandora.net/on/demandware.static/-/Sites-pandora-master-catalog/default/dwbb259ca6/productimages/singlepackshot/763369C01_RGB.png" TargetMode="External"/><Relationship Id="rId1632" Type="http://schemas.openxmlformats.org/officeDocument/2006/relationships/hyperlink" Target="https://us.pandora.net/on/demandware.static/-/Sites-pandora-master-catalog/default/dwbb259ca6/productimages/singlepackshot/196314_RGB.png" TargetMode="External"/><Relationship Id="rId2199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3457" Type="http://schemas.openxmlformats.org/officeDocument/2006/relationships/hyperlink" Target="https://us.pandora.net/on/demandware.static/-/Sites-pandora-master-catalog/default/dwbb259ca6/productimages/singlepackshot/797906NRGMX_RGB.png" TargetMode="External"/><Relationship Id="rId378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585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792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2059" Type="http://schemas.openxmlformats.org/officeDocument/2006/relationships/hyperlink" Target="https://us.pandora.net/on/demandware.static/-/Sites-pandora-master-catalog/default/dwbb259ca6/productimages/singlepackshot/393176C01_RGB.png" TargetMode="External"/><Relationship Id="rId2266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2473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2680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3317" Type="http://schemas.openxmlformats.org/officeDocument/2006/relationships/hyperlink" Target="https://us.pandora.net/on/demandware.static/-/Sites-pandora-master-catalog/default/dwbb259ca6/productimages/singlepackshot/793768C01_RGB.png" TargetMode="External"/><Relationship Id="rId3524" Type="http://schemas.openxmlformats.org/officeDocument/2006/relationships/hyperlink" Target="https://us.pandora.net/on/demandware.static/-/Sites-pandora-master-catalog/default/dwbb259ca6/productimages/singlepackshot/799171C01_RGB.png" TargetMode="External"/><Relationship Id="rId238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445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652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1075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1282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2126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333" Type="http://schemas.openxmlformats.org/officeDocument/2006/relationships/hyperlink" Target="https://us.pandora.net/on/demandware.static/-/Sites-pandora-master-catalog/default/dwbb259ca6/productimages/singlepackshot/580728_RGB.png" TargetMode="External"/><Relationship Id="rId2540" Type="http://schemas.openxmlformats.org/officeDocument/2006/relationships/hyperlink" Target="https://us.pandora.net/on/demandware.static/-/Sites-pandora-master-catalog/default/dwbb259ca6/productimages/singlepackshot/593008C01_RGB.png" TargetMode="External"/><Relationship Id="rId305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512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1142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2400" Type="http://schemas.openxmlformats.org/officeDocument/2006/relationships/hyperlink" Target="https://us.pandora.net/on/demandware.static/-/Sites-pandora-master-catalog/default/dwbb259ca6/productimages/singlepackshot/590039C01_RGB.png" TargetMode="External"/><Relationship Id="rId1002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959" Type="http://schemas.openxmlformats.org/officeDocument/2006/relationships/hyperlink" Target="https://us.pandora.net/on/demandware.static/-/Sites-pandora-master-catalog/default/dwbb259ca6/productimages/singlepackshot/293856C00_RGB.png" TargetMode="External"/><Relationship Id="rId3174" Type="http://schemas.openxmlformats.org/officeDocument/2006/relationships/hyperlink" Target="https://us.pandora.net/on/demandware.static/-/Sites-pandora-master-catalog/default/dwbb259ca6/productimages/singlepackshot/792831C01_RGB.png" TargetMode="External"/><Relationship Id="rId1819" Type="http://schemas.openxmlformats.org/officeDocument/2006/relationships/hyperlink" Target="https://us.pandora.net/on/demandware.static/-/Sites-pandora-master-catalog/default/dwbb259ca6/productimages/singlepackshot/263019C01_RGB.png" TargetMode="External"/><Relationship Id="rId3381" Type="http://schemas.openxmlformats.org/officeDocument/2006/relationships/hyperlink" Target="https://us.pandora.net/on/demandware.static/-/Sites-pandora-master-catalog/default/dwbb259ca6/productimages/singlepackshot/794129C01_RGB.png" TargetMode="External"/><Relationship Id="rId2190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2288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2495" Type="http://schemas.openxmlformats.org/officeDocument/2006/relationships/hyperlink" Target="https://us.pandora.net/on/demandware.static/-/Sites-pandora-master-catalog/default/dwbb259ca6/productimages/singlepackshot/591683C01_RGB.png" TargetMode="External"/><Relationship Id="rId3034" Type="http://schemas.openxmlformats.org/officeDocument/2006/relationships/hyperlink" Target="https://us.pandora.net/on/demandware.static/-/Sites-pandora-master-catalog/default/dwbb259ca6/productimages/singlepackshot/790483C01_RGB.png" TargetMode="External"/><Relationship Id="rId3241" Type="http://schemas.openxmlformats.org/officeDocument/2006/relationships/hyperlink" Target="https://us.pandora.net/on/demandware.static/-/Sites-pandora-master-catalog/default/dwbb259ca6/productimages/singlepackshot/793352C01_RGB.png" TargetMode="External"/><Relationship Id="rId3339" Type="http://schemas.openxmlformats.org/officeDocument/2006/relationships/hyperlink" Target="https://us.pandora.net/on/demandware.static/-/Sites-pandora-master-catalog/default/dwbb259ca6/productimages/singlepackshot/793896C01_RGB.png" TargetMode="External"/><Relationship Id="rId162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467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1097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2050" Type="http://schemas.openxmlformats.org/officeDocument/2006/relationships/hyperlink" Target="https://us.pandora.net/on/demandware.static/-/Sites-pandora-master-catalog/default/dwbb259ca6/productimages/singlepackshot/393057C01_RGB.png" TargetMode="External"/><Relationship Id="rId2148" Type="http://schemas.openxmlformats.org/officeDocument/2006/relationships/hyperlink" Target="https://us.pandora.net/on/demandware.static/-/Sites-pandora-master-catalog/default/dwbb259ca6/productimages/singlepackshot/562793C00_RGB.png" TargetMode="External"/><Relationship Id="rId3101" Type="http://schemas.openxmlformats.org/officeDocument/2006/relationships/hyperlink" Target="https://us.pandora.net/on/demandware.static/-/Sites-pandora-master-catalog/default/dwbb259ca6/productimages/singlepackshot/792018_E019_RGB.png" TargetMode="External"/><Relationship Id="rId3546" Type="http://schemas.openxmlformats.org/officeDocument/2006/relationships/hyperlink" Target="https://us.pandora.net/on/demandware.static/-/Sites-pandora-master-catalog/default/dwbb259ca6/productimages/singlepackshot/799536C00_RGB.png" TargetMode="External"/><Relationship Id="rId674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881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979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2355" Type="http://schemas.openxmlformats.org/officeDocument/2006/relationships/hyperlink" Target="https://us.pandora.net/on/demandware.static/-/Sites-pandora-master-catalog/default/dwbb259ca6/productimages/singlepackshot/582731C00_RGB.png" TargetMode="External"/><Relationship Id="rId2562" Type="http://schemas.openxmlformats.org/officeDocument/2006/relationships/hyperlink" Target="https://us.pandora.net/on/demandware.static/-/Sites-pandora-master-catalog/default/dwbb259ca6/productimages/singlepackshot/593361C01_RGB.png" TargetMode="External"/><Relationship Id="rId3406" Type="http://schemas.openxmlformats.org/officeDocument/2006/relationships/hyperlink" Target="https://us.pandora.net/on/demandware.static/-/Sites-pandora-master-catalog/default/dwbb259ca6/productimages/singlepackshot/794250C01_RGB.png" TargetMode="External"/><Relationship Id="rId327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534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741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839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164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1371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1469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2008" Type="http://schemas.openxmlformats.org/officeDocument/2006/relationships/hyperlink" Target="https://us.pandora.net/on/demandware.static/-/Sites-pandora-master-catalog/default/dwbb259ca6/productimages/singlepackshot/364267C01_RGB.png" TargetMode="External"/><Relationship Id="rId2215" Type="http://schemas.openxmlformats.org/officeDocument/2006/relationships/hyperlink" Target="https://us.pandora.net/on/demandware.static/-/Sites-pandora-master-catalog/default/dwbb259ca6/productimages/singlepackshot/563808C00_RGB.png" TargetMode="External"/><Relationship Id="rId2422" Type="http://schemas.openxmlformats.org/officeDocument/2006/relationships/hyperlink" Target="https://us.pandora.net/on/demandware.static/-/Sites-pandora-master-catalog/default/dwbb259ca6/productimages/singlepackshot/590412_RGB.png" TargetMode="External"/><Relationship Id="rId2867" Type="http://schemas.openxmlformats.org/officeDocument/2006/relationships/hyperlink" Target="https://us.pandora.net/on/demandware.static/-/Sites-pandora-master-catalog/default/dwbb259ca6/productimages/singlepackshot/763765C01_RGB.png" TargetMode="External"/><Relationship Id="rId601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1024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231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1676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1883" Type="http://schemas.openxmlformats.org/officeDocument/2006/relationships/hyperlink" Target="https://us.pandora.net/on/demandware.static/-/Sites-pandora-master-catalog/default/dwbb259ca6/productimages/singlepackshot/290585CZ_RGB.png" TargetMode="External"/><Relationship Id="rId2727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2934" Type="http://schemas.openxmlformats.org/officeDocument/2006/relationships/hyperlink" Target="https://us.pandora.net/on/demandware.static/-/Sites-pandora-master-catalog/default/dwbb259ca6/productimages/singlepackshot/764090C01_RGB.png" TargetMode="External"/><Relationship Id="rId906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329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36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1743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1950" Type="http://schemas.openxmlformats.org/officeDocument/2006/relationships/hyperlink" Target="https://us.pandora.net/on/demandware.static/-/Sites-pandora-master-catalog/default/dwbb259ca6/productimages/singlepackshot/293657C01_RGB.png" TargetMode="External"/><Relationship Id="rId3196" Type="http://schemas.openxmlformats.org/officeDocument/2006/relationships/hyperlink" Target="https://us.pandora.net/on/demandware.static/-/Sites-pandora-master-catalog/default/dwbb259ca6/productimages/singlepackshot/793071C01_RGB.png" TargetMode="External"/><Relationship Id="rId35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1603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1810" Type="http://schemas.openxmlformats.org/officeDocument/2006/relationships/hyperlink" Target="https://us.pandora.net/on/demandware.static/-/Sites-pandora-master-catalog/default/dwbb259ca6/productimages/singlepackshot/261248C01_RGB.png" TargetMode="External"/><Relationship Id="rId3056" Type="http://schemas.openxmlformats.org/officeDocument/2006/relationships/hyperlink" Target="https://us.pandora.net/on/demandware.static/-/Sites-pandora-master-catalog/default/dwbb259ca6/productimages/singlepackshot/791288CZ_RGB.png" TargetMode="External"/><Relationship Id="rId3263" Type="http://schemas.openxmlformats.org/officeDocument/2006/relationships/hyperlink" Target="https://us.pandora.net/on/demandware.static/-/Sites-pandora-master-catalog/default/dwbb259ca6/productimages/singlepackshot/793451C01_RGB.png" TargetMode="External"/><Relationship Id="rId3470" Type="http://schemas.openxmlformats.org/officeDocument/2006/relationships/hyperlink" Target="https://us.pandora.net/on/demandware.static/-/Sites-pandora-master-catalog/default/dwbb259ca6/productimages/singlepackshot/798106CZ_RGB.png" TargetMode="External"/><Relationship Id="rId184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391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1908" Type="http://schemas.openxmlformats.org/officeDocument/2006/relationships/hyperlink" Target="https://us.pandora.net/on/demandware.static/-/Sites-pandora-master-catalog/default/dwbb259ca6/productimages/singlepackshot/292624C01_RGB.png" TargetMode="External"/><Relationship Id="rId2072" Type="http://schemas.openxmlformats.org/officeDocument/2006/relationships/hyperlink" Target="https://us.pandora.net/on/demandware.static/-/Sites-pandora-master-catalog/default/dwbb259ca6/productimages/singlepackshot/393600C01_RGB.png" TargetMode="External"/><Relationship Id="rId3123" Type="http://schemas.openxmlformats.org/officeDocument/2006/relationships/hyperlink" Target="https://us.pandora.net/on/demandware.static/-/Sites-pandora-master-catalog/default/dwbb259ca6/productimages/singlepackshot/792292C01_RGB.png" TargetMode="External"/><Relationship Id="rId251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489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696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2377" Type="http://schemas.openxmlformats.org/officeDocument/2006/relationships/hyperlink" Target="https://us.pandora.net/on/demandware.static/-/Sites-pandora-master-catalog/default/dwbb259ca6/productimages/singlepackshot/589217C01_RGB.png" TargetMode="External"/><Relationship Id="rId2584" Type="http://schemas.openxmlformats.org/officeDocument/2006/relationships/hyperlink" Target="https://us.pandora.net/on/demandware.static/-/Sites-pandora-master-catalog/default/dwbb259ca6/productimages/singlepackshot/593579C01_RGB.png" TargetMode="External"/><Relationship Id="rId2791" Type="http://schemas.openxmlformats.org/officeDocument/2006/relationships/hyperlink" Target="https://us.pandora.net/on/demandware.static/-/Sites-pandora-master-catalog/default/dwbb259ca6/productimages/singlepackshot/762712C01_RGB.png" TargetMode="External"/><Relationship Id="rId3330" Type="http://schemas.openxmlformats.org/officeDocument/2006/relationships/hyperlink" Target="https://us.pandora.net/on/demandware.static/-/Sites-pandora-master-catalog/default/dwbb259ca6/productimages/singlepackshot/793822C01_RGB.png" TargetMode="External"/><Relationship Id="rId3428" Type="http://schemas.openxmlformats.org/officeDocument/2006/relationships/hyperlink" Target="https://us.pandora.net/on/demandware.static/-/Sites-pandora-master-catalog/default/dwbb259ca6/productimages/singlepackshot/797459_RGB.png" TargetMode="External"/><Relationship Id="rId349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56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763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1186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1393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237" Type="http://schemas.openxmlformats.org/officeDocument/2006/relationships/hyperlink" Target="https://us.pandora.net/on/demandware.static/-/Sites-pandora-master-catalog/default/dwbb259ca6/productimages/singlepackshot/563869C00_RGB.png" TargetMode="External"/><Relationship Id="rId2444" Type="http://schemas.openxmlformats.org/officeDocument/2006/relationships/hyperlink" Target="https://us.pandora.net/on/demandware.static/-/Sites-pandora-master-catalog/default/dwbb259ca6/productimages/singlepackshot/590719_RGB.png" TargetMode="External"/><Relationship Id="rId2889" Type="http://schemas.openxmlformats.org/officeDocument/2006/relationships/hyperlink" Target="https://us.pandora.net/on/demandware.static/-/Sites-pandora-master-catalog/default/dwbb259ca6/productimages/singlepackshot/763950C00_RGB.png" TargetMode="External"/><Relationship Id="rId111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209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16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970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046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253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1698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2651" Type="http://schemas.openxmlformats.org/officeDocument/2006/relationships/hyperlink" Target="https://us.pandora.net/on/demandware.static/-/Sites-pandora-master-catalog/default/dwbb259ca6/productimages/singlepackshot/594234C01_RGB.png" TargetMode="External"/><Relationship Id="rId2749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2956" Type="http://schemas.openxmlformats.org/officeDocument/2006/relationships/hyperlink" Target="https://us.pandora.net/on/demandware.static/-/Sites-pandora-master-catalog/default/dwbb259ca6/productimages/singlepackshot/768939C01_RGB.png" TargetMode="External"/><Relationship Id="rId623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830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928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460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1558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1765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2304" Type="http://schemas.openxmlformats.org/officeDocument/2006/relationships/hyperlink" Target="https://us.pandora.net/on/demandware.static/-/Sites-pandora-master-catalog/default/dwbb259ca6/productimages/singlepackshot/569523C00_RGB.png" TargetMode="External"/><Relationship Id="rId2511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2609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57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113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320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1418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1972" Type="http://schemas.openxmlformats.org/officeDocument/2006/relationships/hyperlink" Target="https://us.pandora.net/on/demandware.static/-/Sites-pandora-master-catalog/default/dwbb259ca6/productimages/singlepackshot/298427C03_RGB.png" TargetMode="External"/><Relationship Id="rId2816" Type="http://schemas.openxmlformats.org/officeDocument/2006/relationships/hyperlink" Target="https://us.pandora.net/on/demandware.static/-/Sites-pandora-master-catalog/default/dwbb259ca6/productimages/singlepackshot/763243C00_RGB.png" TargetMode="External"/><Relationship Id="rId1625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1832" Type="http://schemas.openxmlformats.org/officeDocument/2006/relationships/hyperlink" Target="https://us.pandora.net/on/demandware.static/-/Sites-pandora-master-catalog/default/dwbb259ca6/productimages/singlepackshot/263287C00_RGB.png" TargetMode="External"/><Relationship Id="rId3078" Type="http://schemas.openxmlformats.org/officeDocument/2006/relationships/hyperlink" Target="https://us.pandora.net/on/demandware.static/-/Sites-pandora-master-catalog/default/dwbb259ca6/productimages/singlepackshot/791736CZ_RGB.png" TargetMode="External"/><Relationship Id="rId3285" Type="http://schemas.openxmlformats.org/officeDocument/2006/relationships/hyperlink" Target="https://us.pandora.net/on/demandware.static/-/Sites-pandora-master-catalog/default/dwbb259ca6/productimages/singlepackshot/793596C01_RGB.png" TargetMode="External"/><Relationship Id="rId3492" Type="http://schemas.openxmlformats.org/officeDocument/2006/relationships/hyperlink" Target="https://us.pandora.net/on/demandware.static/-/Sites-pandora-master-catalog/default/dwbb259ca6/productimages/singlepackshot/798747C01_RGB.png" TargetMode="External"/><Relationship Id="rId2094" Type="http://schemas.openxmlformats.org/officeDocument/2006/relationships/hyperlink" Target="https://us.pandora.net/on/demandware.static/-/Sites-pandora-master-catalog/default/dwbb259ca6/productimages/singlepackshot/394266C01_RGB.png" TargetMode="External"/><Relationship Id="rId3145" Type="http://schemas.openxmlformats.org/officeDocument/2006/relationships/hyperlink" Target="https://us.pandora.net/on/demandware.static/-/Sites-pandora-master-catalog/default/dwbb259ca6/productimages/singlepackshot/792630C03_RGB.png" TargetMode="External"/><Relationship Id="rId3352" Type="http://schemas.openxmlformats.org/officeDocument/2006/relationships/hyperlink" Target="https://us.pandora.net/on/demandware.static/-/Sites-pandora-master-catalog/default/dwbb259ca6/productimages/singlepackshot/793921C01_RGB.png" TargetMode="External"/><Relationship Id="rId273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480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2161" Type="http://schemas.openxmlformats.org/officeDocument/2006/relationships/hyperlink" Target="https://us.pandora.net/on/demandware.static/-/Sites-pandora-master-catalog/default/dwbb259ca6/productimages/singlepackshot/563090C00_RGB.png" TargetMode="External"/><Relationship Id="rId2399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3005" Type="http://schemas.openxmlformats.org/officeDocument/2006/relationships/hyperlink" Target="https://us.pandora.net/on/demandware.static/-/Sites-pandora-master-catalog/default/dwbb259ca6/productimages/singlepackshot/788771C01_RGB.png" TargetMode="External"/><Relationship Id="rId3212" Type="http://schemas.openxmlformats.org/officeDocument/2006/relationships/hyperlink" Target="https://us.pandora.net/on/demandware.static/-/Sites-pandora-master-catalog/default/dwbb259ca6/productimages/singlepackshot/793125C07_RGB.png" TargetMode="External"/><Relationship Id="rId133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340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578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785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992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2021" Type="http://schemas.openxmlformats.org/officeDocument/2006/relationships/hyperlink" Target="https://us.pandora.net/on/demandware.static/-/Sites-pandora-master-catalog/default/dwbb259ca6/productimages/singlepackshot/382234C00_RGB.png" TargetMode="External"/><Relationship Id="rId2259" Type="http://schemas.openxmlformats.org/officeDocument/2006/relationships/hyperlink" Target="https://us.pandora.net/on/demandware.static/-/Sites-pandora-master-catalog/default/dwbb259ca6/productimages/singlepackshot/564226C01_RGB.png" TargetMode="External"/><Relationship Id="rId2466" Type="http://schemas.openxmlformats.org/officeDocument/2006/relationships/hyperlink" Target="https://us.pandora.net/on/demandware.static/-/Sites-pandora-master-catalog/default/dwbb259ca6/productimages/singlepackshot/590745CBK_RGB.png" TargetMode="External"/><Relationship Id="rId2673" Type="http://schemas.openxmlformats.org/officeDocument/2006/relationships/hyperlink" Target="https://us.pandora.net/on/demandware.static/-/Sites-pandora-master-catalog/default/dwbb259ca6/productimages/singlepackshot/598342CZ_RGB.png" TargetMode="External"/><Relationship Id="rId2880" Type="http://schemas.openxmlformats.org/officeDocument/2006/relationships/hyperlink" Target="https://us.pandora.net/on/demandware.static/-/Sites-pandora-master-catalog/default/dwbb259ca6/productimages/singlepackshot/763892C01_RGB.png" TargetMode="External"/><Relationship Id="rId3517" Type="http://schemas.openxmlformats.org/officeDocument/2006/relationships/hyperlink" Target="https://us.pandora.net/on/demandware.static/-/Sites-pandora-master-catalog/default/dwbb259ca6/productimages/singlepackshot/799015C01_RGB.png" TargetMode="External"/><Relationship Id="rId200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438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645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852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1068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1275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1482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2119" Type="http://schemas.openxmlformats.org/officeDocument/2006/relationships/hyperlink" Target="https://us.pandora.net/on/demandware.static/-/Sites-pandora-master-catalog/default/dwbb259ca6/productimages/singlepackshot/550702_RGB.png" TargetMode="External"/><Relationship Id="rId2326" Type="http://schemas.openxmlformats.org/officeDocument/2006/relationships/hyperlink" Target="https://us.pandora.net/on/demandware.static/-/Sites-pandora-master-catalog/default/dwbb259ca6/productimages/singlepackshot/580719_RGB.png" TargetMode="External"/><Relationship Id="rId2533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740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2978" Type="http://schemas.openxmlformats.org/officeDocument/2006/relationships/hyperlink" Target="https://us.pandora.net/on/demandware.static/-/Sites-pandora-master-catalog/default/dwbb259ca6/productimages/singlepackshot/782208C01_RGB.png" TargetMode="External"/><Relationship Id="rId505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712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1135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342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787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1994" Type="http://schemas.openxmlformats.org/officeDocument/2006/relationships/hyperlink" Target="https://us.pandora.net/on/demandware.static/-/Sites-pandora-master-catalog/default/dwbb259ca6/productimages/singlepackshot/363305C01_RGB.png" TargetMode="External"/><Relationship Id="rId2838" Type="http://schemas.openxmlformats.org/officeDocument/2006/relationships/hyperlink" Target="https://us.pandora.net/on/demandware.static/-/Sites-pandora-master-catalog/default/dwbb259ca6/productimages/singlepackshot/763462C01_RGB.png" TargetMode="External"/><Relationship Id="rId79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1202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647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854" Type="http://schemas.openxmlformats.org/officeDocument/2006/relationships/hyperlink" Target="https://us.pandora.net/on/demandware.static/-/Sites-pandora-master-catalog/default/dwbb259ca6/productimages/singlepackshot/263875C00_RGB.png" TargetMode="External"/><Relationship Id="rId2600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2905" Type="http://schemas.openxmlformats.org/officeDocument/2006/relationships/hyperlink" Target="https://us.pandora.net/on/demandware.static/-/Sites-pandora-master-catalog/default/dwbb259ca6/productimages/singlepackshot/763966C00_RGB.png" TargetMode="External"/><Relationship Id="rId1507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714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3167" Type="http://schemas.openxmlformats.org/officeDocument/2006/relationships/hyperlink" Target="https://us.pandora.net/on/demandware.static/-/Sites-pandora-master-catalog/default/dwbb259ca6/productimages/singlepackshot/792811C01_RGB.png" TargetMode="External"/><Relationship Id="rId295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1921" Type="http://schemas.openxmlformats.org/officeDocument/2006/relationships/hyperlink" Target="https://us.pandora.net/on/demandware.static/-/Sites-pandora-master-catalog/default/dwbb259ca6/productimages/singlepackshot/293150C01_RGB.png" TargetMode="External"/><Relationship Id="rId3374" Type="http://schemas.openxmlformats.org/officeDocument/2006/relationships/hyperlink" Target="https://us.pandora.net/on/demandware.static/-/Sites-pandora-master-catalog/default/dwbb259ca6/productimages/singlepackshot/794056C00_RGB.png" TargetMode="External"/><Relationship Id="rId2183" Type="http://schemas.openxmlformats.org/officeDocument/2006/relationships/hyperlink" Target="https://us.pandora.net/on/demandware.static/-/Sites-pandora-master-catalog/default/dwbb259ca6/productimages/singlepackshot/563401C01_RGB.png" TargetMode="External"/><Relationship Id="rId2390" Type="http://schemas.openxmlformats.org/officeDocument/2006/relationships/hyperlink" Target="https://us.pandora.net/on/demandware.static/-/Sites-pandora-master-catalog/default/dwbb259ca6/productimages/singlepackshot/589662C00_RGB.png" TargetMode="External"/><Relationship Id="rId2488" Type="http://schemas.openxmlformats.org/officeDocument/2006/relationships/hyperlink" Target="https://us.pandora.net/on/demandware.static/-/Sites-pandora-master-catalog/default/dwbb259ca6/productimages/singlepackshot/591469C03_RGB.png" TargetMode="External"/><Relationship Id="rId3027" Type="http://schemas.openxmlformats.org/officeDocument/2006/relationships/hyperlink" Target="https://us.pandora.net/on/demandware.static/-/Sites-pandora-master-catalog/default/dwbb259ca6/productimages/singlepackshot/790065C06_RGB.png" TargetMode="External"/><Relationship Id="rId3234" Type="http://schemas.openxmlformats.org/officeDocument/2006/relationships/hyperlink" Target="https://us.pandora.net/on/demandware.static/-/Sites-pandora-master-catalog/default/dwbb259ca6/productimages/singlepackshot/793337C06_RGB.png" TargetMode="External"/><Relationship Id="rId3441" Type="http://schemas.openxmlformats.org/officeDocument/2006/relationships/hyperlink" Target="https://us.pandora.net/on/demandware.static/-/Sites-pandora-master-catalog/default/dwbb259ca6/productimages/singlepackshot/797472_RGB.png" TargetMode="External"/><Relationship Id="rId155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362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1297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2043" Type="http://schemas.openxmlformats.org/officeDocument/2006/relationships/hyperlink" Target="https://us.pandora.net/on/demandware.static/-/Sites-pandora-master-catalog/default/dwbb259ca6/productimages/singlepackshot/392666C01_RGB.png" TargetMode="External"/><Relationship Id="rId2250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2695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3301" Type="http://schemas.openxmlformats.org/officeDocument/2006/relationships/hyperlink" Target="https://us.pandora.net/on/demandware.static/-/Sites-pandora-master-catalog/default/dwbb259ca6/productimages/singlepackshot/793687C01_RGB.png" TargetMode="External"/><Relationship Id="rId3539" Type="http://schemas.openxmlformats.org/officeDocument/2006/relationships/hyperlink" Target="https://us.pandora.net/on/demandware.static/-/Sites-pandora-master-catalog/default/dwbb259ca6/productimages/singlepackshot/799393C00_RGB.png" TargetMode="External"/><Relationship Id="rId222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667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874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2110" Type="http://schemas.openxmlformats.org/officeDocument/2006/relationships/hyperlink" Target="https://us.pandora.net/on/demandware.static/-/Sites-pandora-master-catalog/default/dwbb259ca6/productimages/singlepackshot/399566C00_RGB.png" TargetMode="External"/><Relationship Id="rId2348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5" Type="http://schemas.openxmlformats.org/officeDocument/2006/relationships/hyperlink" Target="https://us.pandora.net/on/demandware.static/-/Sites-pandora-master-catalog/default/dwbb259ca6/productimages/singlepackshot/593173C01_RGB.png" TargetMode="External"/><Relationship Id="rId2762" Type="http://schemas.openxmlformats.org/officeDocument/2006/relationships/hyperlink" Target="https://us.pandora.net/on/demandware.static/-/Sites-pandora-master-catalog/default/dwbb259ca6/productimages/singlepackshot/752337C01_RGB.png" TargetMode="External"/><Relationship Id="rId527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734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941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157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364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1571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2208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415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622" Type="http://schemas.openxmlformats.org/officeDocument/2006/relationships/hyperlink" Target="https://us.pandora.net/on/demandware.static/-/Sites-pandora-master-catalog/default/dwbb259ca6/productimages/singlepackshot/593853C00_RGB.png" TargetMode="External"/><Relationship Id="rId70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801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1017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224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431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1669" Type="http://schemas.openxmlformats.org/officeDocument/2006/relationships/hyperlink" Target="https://us.pandora.net/on/demandware.static/-/Sites-pandora-master-catalog/default/dwbb259ca6/productimages/singlepackshot/197681_RGB.png" TargetMode="External"/><Relationship Id="rId1876" Type="http://schemas.openxmlformats.org/officeDocument/2006/relationships/hyperlink" Target="https://us.pandora.net/on/demandware.static/-/Sites-pandora-master-catalog/default/dwbb259ca6/productimages/singlepackshot/288773C01_RGB.png" TargetMode="External"/><Relationship Id="rId2927" Type="http://schemas.openxmlformats.org/officeDocument/2006/relationships/hyperlink" Target="https://us.pandora.net/on/demandware.static/-/Sites-pandora-master-catalog/default/dwbb259ca6/productimages/singlepackshot/764063C01_RGB.png" TargetMode="External"/><Relationship Id="rId3091" Type="http://schemas.openxmlformats.org/officeDocument/2006/relationships/hyperlink" Target="https://us.pandora.net/on/demandware.static/-/Sites-pandora-master-catalog/default/dwbb259ca6/productimages/singlepackshot/791972PCZ_RGB.png" TargetMode="External"/><Relationship Id="rId1529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1736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1943" Type="http://schemas.openxmlformats.org/officeDocument/2006/relationships/hyperlink" Target="https://us.pandora.net/on/demandware.static/-/Sites-pandora-master-catalog/default/dwbb259ca6/productimages/singlepackshot/293544C01_RGB.png" TargetMode="External"/><Relationship Id="rId3189" Type="http://schemas.openxmlformats.org/officeDocument/2006/relationships/hyperlink" Target="https://us.pandora.net/on/demandware.static/-/Sites-pandora-master-catalog/default/dwbb259ca6/productimages/singlepackshot/793042C02_RGB.png" TargetMode="External"/><Relationship Id="rId3396" Type="http://schemas.openxmlformats.org/officeDocument/2006/relationships/hyperlink" Target="https://us.pandora.net/on/demandware.static/-/Sites-pandora-master-catalog/default/dwbb259ca6/productimages/singlepackshot/794238C01_RGB.png" TargetMode="External"/><Relationship Id="rId28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1803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049" Type="http://schemas.openxmlformats.org/officeDocument/2006/relationships/hyperlink" Target="https://us.pandora.net/on/demandware.static/-/Sites-pandora-master-catalog/default/dwbb259ca6/productimages/singlepackshot/791079_RGB.png" TargetMode="External"/><Relationship Id="rId3256" Type="http://schemas.openxmlformats.org/officeDocument/2006/relationships/hyperlink" Target="https://us.pandora.net/on/demandware.static/-/Sites-pandora-master-catalog/default/dwbb259ca6/productimages/singlepackshot/793434C01_RGB.png" TargetMode="External"/><Relationship Id="rId3463" Type="http://schemas.openxmlformats.org/officeDocument/2006/relationships/hyperlink" Target="https://us.pandora.net/on/demandware.static/-/Sites-pandora-master-catalog/default/dwbb259ca6/productimages/singlepackshot/798027CZ_RGB.png" TargetMode="External"/><Relationship Id="rId177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384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591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2065" Type="http://schemas.openxmlformats.org/officeDocument/2006/relationships/hyperlink" Target="https://us.pandora.net/on/demandware.static/-/Sites-pandora-master-catalog/default/dwbb259ca6/productimages/singlepackshot/393416C00_RGB.png" TargetMode="External"/><Relationship Id="rId2272" Type="http://schemas.openxmlformats.org/officeDocument/2006/relationships/hyperlink" Target="https://us.pandora.net/on/demandware.static/-/Sites-pandora-master-catalog/default/dwbb259ca6/productimages/singlepackshot/568342C01_RGB.png" TargetMode="External"/><Relationship Id="rId3116" Type="http://schemas.openxmlformats.org/officeDocument/2006/relationships/hyperlink" Target="https://us.pandora.net/on/demandware.static/-/Sites-pandora-master-catalog/default/dwbb259ca6/productimages/singlepackshot/792239C01_RGB.png" TargetMode="External"/><Relationship Id="rId244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689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896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1081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2577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2784" Type="http://schemas.openxmlformats.org/officeDocument/2006/relationships/hyperlink" Target="https://us.pandora.net/on/demandware.static/-/Sites-pandora-master-catalog/default/dwbb259ca6/productimages/singlepackshot/762678C01_RGB.png" TargetMode="External"/><Relationship Id="rId3323" Type="http://schemas.openxmlformats.org/officeDocument/2006/relationships/hyperlink" Target="https://us.pandora.net/on/demandware.static/-/Sites-pandora-master-catalog/default/dwbb259ca6/productimages/singlepackshot/793785C01_RGB.png" TargetMode="External"/><Relationship Id="rId3530" Type="http://schemas.openxmlformats.org/officeDocument/2006/relationships/hyperlink" Target="https://us.pandora.net/on/demandware.static/-/Sites-pandora-master-catalog/default/dwbb259ca6/productimages/singlepackshot/799270C01_RGB.png" TargetMode="External"/><Relationship Id="rId451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549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756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1179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1386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1593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2132" Type="http://schemas.openxmlformats.org/officeDocument/2006/relationships/hyperlink" Target="https://us.pandora.net/on/demandware.static/-/Sites-pandora-master-catalog/default/dwbb259ca6/productimages/singlepackshot/561469C01_RGB.png" TargetMode="External"/><Relationship Id="rId2437" Type="http://schemas.openxmlformats.org/officeDocument/2006/relationships/hyperlink" Target="https://us.pandora.net/on/demandware.static/-/Sites-pandora-master-catalog/default/dwbb259ca6/productimages/singlepackshot/590713_RGB.png" TargetMode="External"/><Relationship Id="rId2991" Type="http://schemas.openxmlformats.org/officeDocument/2006/relationships/hyperlink" Target="https://us.pandora.net/on/demandware.static/-/Sites-pandora-master-catalog/default/dwbb259ca6/productimages/singlepackshot/783066C01_RGB.png" TargetMode="External"/><Relationship Id="rId104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11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409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963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039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246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898" Type="http://schemas.openxmlformats.org/officeDocument/2006/relationships/hyperlink" Target="https://us.pandora.net/on/demandware.static/-/Sites-pandora-master-catalog/default/dwbb259ca6/productimages/singlepackshot/292334C06_RGB.png" TargetMode="External"/><Relationship Id="rId2644" Type="http://schemas.openxmlformats.org/officeDocument/2006/relationships/hyperlink" Target="https://us.pandora.net/on/demandware.static/-/Sites-pandora-master-catalog/default/dwbb259ca6/productimages/singlepackshot/594226C01_RGB.png" TargetMode="External"/><Relationship Id="rId2851" Type="http://schemas.openxmlformats.org/officeDocument/2006/relationships/hyperlink" Target="https://us.pandora.net/on/demandware.static/-/Sites-pandora-master-catalog/default/dwbb259ca6/productimages/singlepackshot/763601C00_RGB.png" TargetMode="External"/><Relationship Id="rId2949" Type="http://schemas.openxmlformats.org/officeDocument/2006/relationships/hyperlink" Target="https://us.pandora.net/on/demandware.static/-/Sites-pandora-master-catalog/default/dwbb259ca6/productimages/singlepackshot/768642C01_RGB.png" TargetMode="External"/><Relationship Id="rId92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616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823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1453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660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1758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2504" Type="http://schemas.openxmlformats.org/officeDocument/2006/relationships/hyperlink" Target="https://us.pandora.net/on/demandware.static/-/Sites-pandora-master-catalog/default/dwbb259ca6/productimages/singlepackshot/592340C00_RGB.png" TargetMode="External"/><Relationship Id="rId2711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2809" Type="http://schemas.openxmlformats.org/officeDocument/2006/relationships/hyperlink" Target="https://us.pandora.net/on/demandware.static/-/Sites-pandora-master-catalog/default/dwbb259ca6/productimages/singlepackshot/763042C01_RGB.png" TargetMode="External"/><Relationship Id="rId1106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313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520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1965" Type="http://schemas.openxmlformats.org/officeDocument/2006/relationships/hyperlink" Target="https://us.pandora.net/on/demandware.static/-/Sites-pandora-master-catalog/default/dwbb259ca6/productimages/singlepackshot/296272CZ_RGB.png" TargetMode="External"/><Relationship Id="rId3180" Type="http://schemas.openxmlformats.org/officeDocument/2006/relationships/hyperlink" Target="https://us.pandora.net/on/demandware.static/-/Sites-pandora-master-catalog/default/dwbb259ca6/productimages/singlepackshot/792983C01_RGB.png" TargetMode="External"/><Relationship Id="rId1618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1825" Type="http://schemas.openxmlformats.org/officeDocument/2006/relationships/hyperlink" Target="https://us.pandora.net/on/demandware.static/-/Sites-pandora-master-catalog/default/dwbb259ca6/productimages/singlepackshot/263263C01_RGB.png" TargetMode="External"/><Relationship Id="rId3040" Type="http://schemas.openxmlformats.org/officeDocument/2006/relationships/hyperlink" Target="https://us.pandora.net/on/demandware.static/-/Sites-pandora-master-catalog/default/dwbb259ca6/productimages/singlepackshot/790771C01_RGB.png" TargetMode="External"/><Relationship Id="rId3278" Type="http://schemas.openxmlformats.org/officeDocument/2006/relationships/hyperlink" Target="https://us.pandora.net/on/demandware.static/-/Sites-pandora-master-catalog/default/dwbb259ca6/productimages/singlepackshot/793583C01_RGB.png" TargetMode="External"/><Relationship Id="rId3485" Type="http://schemas.openxmlformats.org/officeDocument/2006/relationships/hyperlink" Target="https://us.pandora.net/on/demandware.static/-/Sites-pandora-master-catalog/default/dwbb259ca6/productimages/singlepackshot/798430C01_RGB.png" TargetMode="External"/><Relationship Id="rId199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2087" Type="http://schemas.openxmlformats.org/officeDocument/2006/relationships/hyperlink" Target="https://us.pandora.net/on/demandware.static/-/Sites-pandora-master-catalog/default/dwbb259ca6/productimages/singlepackshot/394013C01_RGB.png" TargetMode="External"/><Relationship Id="rId2294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3138" Type="http://schemas.openxmlformats.org/officeDocument/2006/relationships/hyperlink" Target="https://us.pandora.net/on/demandware.static/-/Sites-pandora-master-catalog/default/dwbb259ca6/productimages/singlepackshot/792571C01_RGB.png" TargetMode="External"/><Relationship Id="rId3345" Type="http://schemas.openxmlformats.org/officeDocument/2006/relationships/hyperlink" Target="https://us.pandora.net/on/demandware.static/-/Sites-pandora-master-catalog/default/dwbb259ca6/productimages/singlepackshot/793907C00_RGB.png" TargetMode="External"/><Relationship Id="rId3552" Type="http://schemas.openxmlformats.org/officeDocument/2006/relationships/hyperlink" Target="https://us.pandora.net/on/demandware.static/-/Sites-pandora-master-catalog/default/dwbb259ca6/productimages/singlepackshot/799637C01_RGB.png" TargetMode="External"/><Relationship Id="rId266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473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680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2154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2361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2599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3205" Type="http://schemas.openxmlformats.org/officeDocument/2006/relationships/hyperlink" Target="https://us.pandora.net/on/demandware.static/-/Sites-pandora-master-catalog/default/dwbb259ca6/productimages/singlepackshot/793117C00_RGB.png" TargetMode="External"/><Relationship Id="rId3412" Type="http://schemas.openxmlformats.org/officeDocument/2006/relationships/hyperlink" Target="https://us.pandora.net/on/demandware.static/-/Sites-pandora-master-catalog/default/dwbb259ca6/productimages/singlepackshot/794294C01_RGB.png" TargetMode="External"/><Relationship Id="rId126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333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540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778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985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1170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2014" Type="http://schemas.openxmlformats.org/officeDocument/2006/relationships/hyperlink" Target="https://us.pandora.net/on/demandware.static/-/Sites-pandora-master-catalog/default/dwbb259ca6/productimages/singlepackshot/368638C00_RGB.png" TargetMode="External"/><Relationship Id="rId2221" Type="http://schemas.openxmlformats.org/officeDocument/2006/relationships/hyperlink" Target="https://us.pandora.net/on/demandware.static/-/Sites-pandora-master-catalog/default/dwbb259ca6/productimages/singlepackshot/563811C00_RGB.png" TargetMode="External"/><Relationship Id="rId2459" Type="http://schemas.openxmlformats.org/officeDocument/2006/relationships/hyperlink" Target="https://us.pandora.net/on/demandware.static/-/Sites-pandora-master-catalog/default/dwbb259ca6/productimages/singlepackshot/590742HV_RGB.png" TargetMode="External"/><Relationship Id="rId2666" Type="http://schemas.openxmlformats.org/officeDocument/2006/relationships/hyperlink" Target="https://us.pandora.net/on/demandware.static/-/Sites-pandora-master-catalog/default/dwbb259ca6/productimages/singlepackshot/596477_RGB.png" TargetMode="External"/><Relationship Id="rId2873" Type="http://schemas.openxmlformats.org/officeDocument/2006/relationships/hyperlink" Target="https://us.pandora.net/on/demandware.static/-/Sites-pandora-master-catalog/default/dwbb259ca6/productimages/singlepackshot/763823C01_RGB.png" TargetMode="External"/><Relationship Id="rId638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845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030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268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1475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1682" Type="http://schemas.openxmlformats.org/officeDocument/2006/relationships/hyperlink" Target="https://us.pandora.net/on/demandware.static/-/Sites-pandora-master-catalog/default/dwbb259ca6/productimages/singlepackshot/198018_RGB.png" TargetMode="External"/><Relationship Id="rId2319" Type="http://schemas.openxmlformats.org/officeDocument/2006/relationships/hyperlink" Target="https://us.pandora.net/on/demandware.static/-/Sites-pandora-master-catalog/default/dwbb259ca6/productimages/singlepackshot/580041C01_RGB.png" TargetMode="External"/><Relationship Id="rId2526" Type="http://schemas.openxmlformats.org/officeDocument/2006/relationships/hyperlink" Target="https://us.pandora.net/on/demandware.static/-/Sites-pandora-master-catalog/default/dwbb259ca6/productimages/singlepackshot/592793C00_RGB.png" TargetMode="External"/><Relationship Id="rId2733" Type="http://schemas.openxmlformats.org/officeDocument/2006/relationships/hyperlink" Target="https://us.pandora.net/on/demandware.static/-/Sites-pandora-master-catalog/default/dwbb259ca6/productimages/singlepackshot/599523C00_RGB.png" TargetMode="External"/><Relationship Id="rId400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705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1128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335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42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1987" Type="http://schemas.openxmlformats.org/officeDocument/2006/relationships/hyperlink" Target="https://us.pandora.net/on/demandware.static/-/Sites-pandora-master-catalog/default/dwbb259ca6/productimages/singlepackshot/363052C00_RGB.png" TargetMode="External"/><Relationship Id="rId2940" Type="http://schemas.openxmlformats.org/officeDocument/2006/relationships/hyperlink" Target="https://us.pandora.net/on/demandware.static/-/Sites-pandora-master-catalog/default/dwbb259ca6/productimages/singlepackshot/764213C01_RGB.png" TargetMode="External"/><Relationship Id="rId912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847" Type="http://schemas.openxmlformats.org/officeDocument/2006/relationships/hyperlink" Target="https://us.pandora.net/on/demandware.static/-/Sites-pandora-master-catalog/default/dwbb259ca6/productimages/singlepackshot/263851C01_RGB.png" TargetMode="External"/><Relationship Id="rId2800" Type="http://schemas.openxmlformats.org/officeDocument/2006/relationships/hyperlink" Target="https://us.pandora.net/on/demandware.static/-/Sites-pandora-master-catalog/default/dwbb259ca6/productimages/singlepackshot/762725C01_RGB.png" TargetMode="External"/><Relationship Id="rId41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402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707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3062" Type="http://schemas.openxmlformats.org/officeDocument/2006/relationships/hyperlink" Target="https://us.pandora.net/on/demandware.static/-/Sites-pandora-master-catalog/default/dwbb259ca6/productimages/singlepackshot/791535CZ_RGB.png" TargetMode="External"/><Relationship Id="rId190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288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1914" Type="http://schemas.openxmlformats.org/officeDocument/2006/relationships/hyperlink" Target="https://us.pandora.net/on/demandware.static/-/Sites-pandora-master-catalog/default/dwbb259ca6/productimages/singlepackshot/292990C01_RGB.png" TargetMode="External"/><Relationship Id="rId3367" Type="http://schemas.openxmlformats.org/officeDocument/2006/relationships/hyperlink" Target="https://us.pandora.net/on/demandware.static/-/Sites-pandora-master-catalog/default/dwbb259ca6/productimages/singlepackshot/794025C01_RGB.png" TargetMode="External"/><Relationship Id="rId495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2176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2383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2590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3227" Type="http://schemas.openxmlformats.org/officeDocument/2006/relationships/hyperlink" Target="https://us.pandora.net/on/demandware.static/-/Sites-pandora-master-catalog/default/dwbb259ca6/productimages/singlepackshot/793331C01_RGB.png" TargetMode="External"/><Relationship Id="rId3434" Type="http://schemas.openxmlformats.org/officeDocument/2006/relationships/hyperlink" Target="https://us.pandora.net/on/demandware.static/-/Sites-pandora-master-catalog/default/dwbb259ca6/productimages/singlepackshot/797465_RGB.png" TargetMode="External"/><Relationship Id="rId148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355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562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1192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36" Type="http://schemas.openxmlformats.org/officeDocument/2006/relationships/hyperlink" Target="https://us.pandora.net/on/demandware.static/-/Sites-pandora-master-catalog/default/dwbb259ca6/productimages/singlepackshot/391455C01_RGB.png" TargetMode="External"/><Relationship Id="rId2243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2450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2688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2895" Type="http://schemas.openxmlformats.org/officeDocument/2006/relationships/hyperlink" Target="https://us.pandora.net/on/demandware.static/-/Sites-pandora-master-catalog/default/dwbb259ca6/productimages/singlepackshot/763956C00_RGB.png" TargetMode="External"/><Relationship Id="rId3501" Type="http://schemas.openxmlformats.org/officeDocument/2006/relationships/hyperlink" Target="https://us.pandora.net/on/demandware.static/-/Sites-pandora-master-catalog/default/dwbb259ca6/productimages/singlepackshot/798872C00_RGB.png" TargetMode="External"/><Relationship Id="rId215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422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867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052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1497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2103" Type="http://schemas.openxmlformats.org/officeDocument/2006/relationships/hyperlink" Target="https://us.pandora.net/on/demandware.static/-/Sites-pandora-master-catalog/default/dwbb259ca6/productimages/singlepackshot/398425C03_RGB.png" TargetMode="External"/><Relationship Id="rId2310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2548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2755" Type="http://schemas.openxmlformats.org/officeDocument/2006/relationships/hyperlink" Target="https://us.pandora.net/on/demandware.static/-/Sites-pandora-master-catalog/default/dwbb259ca6/productimages/singlepackshot/599652C01_RGB.png" TargetMode="External"/><Relationship Id="rId2962" Type="http://schemas.openxmlformats.org/officeDocument/2006/relationships/hyperlink" Target="https://us.pandora.net/on/demandware.static/-/Sites-pandora-master-catalog/default/dwbb259ca6/productimages/singlepackshot/769434C01_RGB.png" TargetMode="External"/><Relationship Id="rId727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934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357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1564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1771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2408" Type="http://schemas.openxmlformats.org/officeDocument/2006/relationships/hyperlink" Target="https://us.pandora.net/on/demandware.static/-/Sites-pandora-master-catalog/default/dwbb259ca6/productimages/singlepackshot/590041C02_RGB.png" TargetMode="External"/><Relationship Id="rId2615" Type="http://schemas.openxmlformats.org/officeDocument/2006/relationships/hyperlink" Target="https://us.pandora.net/on/demandware.static/-/Sites-pandora-master-catalog/default/dwbb259ca6/productimages/singlepackshot/593816C01_RGB.png" TargetMode="External"/><Relationship Id="rId2822" Type="http://schemas.openxmlformats.org/officeDocument/2006/relationships/hyperlink" Target="https://us.pandora.net/on/demandware.static/-/Sites-pandora-master-catalog/default/dwbb259ca6/productimages/singlepackshot/763368C01_RGB.png" TargetMode="External"/><Relationship Id="rId63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217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424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631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1869" Type="http://schemas.openxmlformats.org/officeDocument/2006/relationships/hyperlink" Target="https://us.pandora.net/on/demandware.static/-/Sites-pandora-master-catalog/default/dwbb259ca6/productimages/singlepackshot/282407C01_RGB.png" TargetMode="External"/><Relationship Id="rId3084" Type="http://schemas.openxmlformats.org/officeDocument/2006/relationships/hyperlink" Target="https://us.pandora.net/on/demandware.static/-/Sites-pandora-master-catalog/default/dwbb259ca6/productimages/singlepackshot/791817PCZ_RGB.png" TargetMode="External"/><Relationship Id="rId3291" Type="http://schemas.openxmlformats.org/officeDocument/2006/relationships/hyperlink" Target="https://us.pandora.net/on/demandware.static/-/Sites-pandora-master-catalog/default/dwbb259ca6/productimages/singlepackshot/793620C01_RGB.png" TargetMode="External"/><Relationship Id="rId1729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1936" Type="http://schemas.openxmlformats.org/officeDocument/2006/relationships/hyperlink" Target="https://us.pandora.net/on/demandware.static/-/Sites-pandora-master-catalog/default/dwbb259ca6/productimages/singlepackshot/293336C00_RGB.png" TargetMode="External"/><Relationship Id="rId3389" Type="http://schemas.openxmlformats.org/officeDocument/2006/relationships/hyperlink" Target="https://us.pandora.net/on/demandware.static/-/Sites-pandora-master-catalog/default/dwbb259ca6/productimages/singlepackshot/794161C05_RGB.png" TargetMode="External"/><Relationship Id="rId2198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3151" Type="http://schemas.openxmlformats.org/officeDocument/2006/relationships/hyperlink" Target="https://us.pandora.net/on/demandware.static/-/Sites-pandora-master-catalog/default/dwbb259ca6/productimages/singlepackshot/792680C01_RGB.png" TargetMode="External"/><Relationship Id="rId3249" Type="http://schemas.openxmlformats.org/officeDocument/2006/relationships/hyperlink" Target="https://us.pandora.net/on/demandware.static/-/Sites-pandora-master-catalog/default/dwbb259ca6/productimages/singlepackshot/793388C01_RGB.png" TargetMode="External"/><Relationship Id="rId3456" Type="http://schemas.openxmlformats.org/officeDocument/2006/relationships/hyperlink" Target="https://us.pandora.net/on/demandware.static/-/Sites-pandora-master-catalog/default/dwbb259ca6/productimages/singlepackshot/797879EN09_RGB.png" TargetMode="External"/><Relationship Id="rId377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584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2058" Type="http://schemas.openxmlformats.org/officeDocument/2006/relationships/hyperlink" Target="https://us.pandora.net/on/demandware.static/-/Sites-pandora-master-catalog/default/dwbb259ca6/productimages/singlepackshot/393175C01_RGB.png" TargetMode="External"/><Relationship Id="rId2265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3011" Type="http://schemas.openxmlformats.org/officeDocument/2006/relationships/hyperlink" Target="https://us.pandora.net/on/demandware.static/-/Sites-pandora-master-catalog/default/dwbb259ca6/productimages/singlepackshot/788942C01_RGB.png" TargetMode="External"/><Relationship Id="rId3109" Type="http://schemas.openxmlformats.org/officeDocument/2006/relationships/hyperlink" Target="https://us.pandora.net/on/demandware.static/-/Sites-pandora-master-catalog/default/dwbb259ca6/productimages/singlepackshot/792152CZ_RGB.png" TargetMode="External"/><Relationship Id="rId5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37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791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889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1074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2472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2777" Type="http://schemas.openxmlformats.org/officeDocument/2006/relationships/hyperlink" Target="https://us.pandora.net/on/demandware.static/-/Sites-pandora-master-catalog/default/dwbb259ca6/productimages/singlepackshot/762470C01_RGB.png" TargetMode="External"/><Relationship Id="rId3316" Type="http://schemas.openxmlformats.org/officeDocument/2006/relationships/hyperlink" Target="https://us.pandora.net/on/demandware.static/-/Sites-pandora-master-catalog/default/dwbb259ca6/productimages/singlepackshot/793766C01_RGB.png" TargetMode="External"/><Relationship Id="rId3523" Type="http://schemas.openxmlformats.org/officeDocument/2006/relationships/hyperlink" Target="https://us.pandora.net/on/demandware.static/-/Sites-pandora-master-catalog/default/dwbb259ca6/productimages/singlepackshot/799157C01_RGB.png" TargetMode="External"/><Relationship Id="rId444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651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749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1281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1379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1586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2125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332" Type="http://schemas.openxmlformats.org/officeDocument/2006/relationships/hyperlink" Target="https://us.pandora.net/on/demandware.static/-/Sites-pandora-master-catalog/default/dwbb259ca6/productimages/singlepackshot/580728_RGB.png" TargetMode="External"/><Relationship Id="rId2984" Type="http://schemas.openxmlformats.org/officeDocument/2006/relationships/hyperlink" Target="https://us.pandora.net/on/demandware.static/-/Sites-pandora-master-catalog/default/dwbb259ca6/productimages/singlepackshot/782615C01_RGB.png" TargetMode="External"/><Relationship Id="rId304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511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609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956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141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1239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793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2637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2844" Type="http://schemas.openxmlformats.org/officeDocument/2006/relationships/hyperlink" Target="https://us.pandora.net/on/demandware.static/-/Sites-pandora-master-catalog/default/dwbb259ca6/productimages/singlepackshot/763512C01_RGB.png" TargetMode="External"/><Relationship Id="rId85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816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001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1446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653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860" Type="http://schemas.openxmlformats.org/officeDocument/2006/relationships/hyperlink" Target="https://us.pandora.net/on/demandware.static/-/Sites-pandora-master-catalog/default/dwbb259ca6/productimages/singlepackshot/266317C01_RGB.png" TargetMode="External"/><Relationship Id="rId2704" Type="http://schemas.openxmlformats.org/officeDocument/2006/relationships/hyperlink" Target="https://us.pandora.net/on/demandware.static/-/Sites-pandora-master-catalog/default/dwbb259ca6/productimages/singlepackshot/599190C01_RGB.png" TargetMode="External"/><Relationship Id="rId2911" Type="http://schemas.openxmlformats.org/officeDocument/2006/relationships/hyperlink" Target="https://us.pandora.net/on/demandware.static/-/Sites-pandora-master-catalog/default/dwbb259ca6/productimages/singlepackshot/763972C00_RGB.png" TargetMode="External"/><Relationship Id="rId1306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513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1720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958" Type="http://schemas.openxmlformats.org/officeDocument/2006/relationships/hyperlink" Target="https://us.pandora.net/on/demandware.static/-/Sites-pandora-master-catalog/default/dwbb259ca6/productimages/singlepackshot/293851C02_RGB.png" TargetMode="External"/><Relationship Id="rId3173" Type="http://schemas.openxmlformats.org/officeDocument/2006/relationships/hyperlink" Target="https://us.pandora.net/on/demandware.static/-/Sites-pandora-master-catalog/default/dwbb259ca6/productimages/singlepackshot/792829C00_RGB.png" TargetMode="External"/><Relationship Id="rId3380" Type="http://schemas.openxmlformats.org/officeDocument/2006/relationships/hyperlink" Target="https://us.pandora.net/on/demandware.static/-/Sites-pandora-master-catalog/default/dwbb259ca6/productimages/singlepackshot/794089C01_RGB.png" TargetMode="External"/><Relationship Id="rId12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1818" Type="http://schemas.openxmlformats.org/officeDocument/2006/relationships/hyperlink" Target="https://us.pandora.net/on/demandware.static/-/Sites-pandora-master-catalog/default/dwbb259ca6/productimages/singlepackshot/263015C01_RGB.png" TargetMode="External"/><Relationship Id="rId3033" Type="http://schemas.openxmlformats.org/officeDocument/2006/relationships/hyperlink" Target="https://us.pandora.net/on/demandware.static/-/Sites-pandora-master-catalog/default/dwbb259ca6/productimages/singlepackshot/790111C01_RGB.png" TargetMode="External"/><Relationship Id="rId3240" Type="http://schemas.openxmlformats.org/officeDocument/2006/relationships/hyperlink" Target="https://us.pandora.net/on/demandware.static/-/Sites-pandora-master-catalog/default/dwbb259ca6/productimages/singlepackshot/793351C00_RGB.png" TargetMode="External"/><Relationship Id="rId3478" Type="http://schemas.openxmlformats.org/officeDocument/2006/relationships/hyperlink" Target="https://us.pandora.net/on/demandware.static/-/Sites-pandora-master-catalog/default/dwbb259ca6/productimages/singlepackshot/798418C01_RGB.png" TargetMode="External"/><Relationship Id="rId161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399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2287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2494" Type="http://schemas.openxmlformats.org/officeDocument/2006/relationships/hyperlink" Target="https://us.pandora.net/on/demandware.static/-/Sites-pandora-master-catalog/default/dwbb259ca6/productimages/singlepackshot/591683C01_RGB.png" TargetMode="External"/><Relationship Id="rId3338" Type="http://schemas.openxmlformats.org/officeDocument/2006/relationships/hyperlink" Target="https://us.pandora.net/on/demandware.static/-/Sites-pandora-master-catalog/default/dwbb259ca6/productimages/singlepackshot/793894C01_RGB.png" TargetMode="External"/><Relationship Id="rId3545" Type="http://schemas.openxmlformats.org/officeDocument/2006/relationships/hyperlink" Target="https://us.pandora.net/on/demandware.static/-/Sites-pandora-master-catalog/default/dwbb259ca6/productimages/singlepackshot/799535C00_RGB.png" TargetMode="External"/><Relationship Id="rId259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466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673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880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1096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2147" Type="http://schemas.openxmlformats.org/officeDocument/2006/relationships/hyperlink" Target="https://us.pandora.net/on/demandware.static/-/Sites-pandora-master-catalog/default/dwbb259ca6/productimages/singlepackshot/562793C00_RGB.png" TargetMode="External"/><Relationship Id="rId2354" Type="http://schemas.openxmlformats.org/officeDocument/2006/relationships/hyperlink" Target="https://us.pandora.net/on/demandware.static/-/Sites-pandora-master-catalog/default/dwbb259ca6/productimages/singlepackshot/582731C00_RGB.png" TargetMode="External"/><Relationship Id="rId2561" Type="http://schemas.openxmlformats.org/officeDocument/2006/relationships/hyperlink" Target="https://us.pandora.net/on/demandware.static/-/Sites-pandora-master-catalog/default/dwbb259ca6/productimages/singlepackshot/593361C01_RGB.png" TargetMode="External"/><Relationship Id="rId2799" Type="http://schemas.openxmlformats.org/officeDocument/2006/relationships/hyperlink" Target="https://us.pandora.net/on/demandware.static/-/Sites-pandora-master-catalog/default/dwbb259ca6/productimages/singlepackshot/762724C01_RGB.png" TargetMode="External"/><Relationship Id="rId3100" Type="http://schemas.openxmlformats.org/officeDocument/2006/relationships/hyperlink" Target="https://us.pandora.net/on/demandware.static/-/Sites-pandora-master-catalog/default/dwbb259ca6/productimages/singlepackshot/792017CZ_E022_RGB.png" TargetMode="External"/><Relationship Id="rId3405" Type="http://schemas.openxmlformats.org/officeDocument/2006/relationships/hyperlink" Target="https://us.pandora.net/on/demandware.static/-/Sites-pandora-master-catalog/default/dwbb259ca6/productimages/singlepackshot/794249C01_RGB.png" TargetMode="External"/><Relationship Id="rId119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326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533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978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1163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1370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2007" Type="http://schemas.openxmlformats.org/officeDocument/2006/relationships/hyperlink" Target="https://us.pandora.net/on/demandware.static/-/Sites-pandora-master-catalog/default/dwbb259ca6/productimages/singlepackshot/364083C00_RGB.png" TargetMode="External"/><Relationship Id="rId2214" Type="http://schemas.openxmlformats.org/officeDocument/2006/relationships/hyperlink" Target="https://us.pandora.net/on/demandware.static/-/Sites-pandora-master-catalog/default/dwbb259ca6/productimages/singlepackshot/563808C00_RGB.png" TargetMode="External"/><Relationship Id="rId2659" Type="http://schemas.openxmlformats.org/officeDocument/2006/relationships/hyperlink" Target="https://us.pandora.net/on/demandware.static/-/Sites-pandora-master-catalog/default/dwbb259ca6/productimages/singlepackshot/594262C01_RGB.png" TargetMode="External"/><Relationship Id="rId2866" Type="http://schemas.openxmlformats.org/officeDocument/2006/relationships/hyperlink" Target="https://us.pandora.net/on/demandware.static/-/Sites-pandora-master-catalog/default/dwbb259ca6/productimages/singlepackshot/763755C00_RGB.png" TargetMode="External"/><Relationship Id="rId740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838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023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468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1675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1882" Type="http://schemas.openxmlformats.org/officeDocument/2006/relationships/hyperlink" Target="https://us.pandora.net/on/demandware.static/-/Sites-pandora-master-catalog/default/dwbb259ca6/productimages/singlepackshot/290558CZ_RGB.png" TargetMode="External"/><Relationship Id="rId2421" Type="http://schemas.openxmlformats.org/officeDocument/2006/relationships/hyperlink" Target="https://us.pandora.net/on/demandware.static/-/Sites-pandora-master-catalog/default/dwbb259ca6/productimages/singlepackshot/590200_RGB.png" TargetMode="External"/><Relationship Id="rId2519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726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600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1230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1328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35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2933" Type="http://schemas.openxmlformats.org/officeDocument/2006/relationships/hyperlink" Target="https://us.pandora.net/on/demandware.static/-/Sites-pandora-master-catalog/default/dwbb259ca6/productimages/singlepackshot/764088C01_RGB.png" TargetMode="External"/><Relationship Id="rId905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742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3195" Type="http://schemas.openxmlformats.org/officeDocument/2006/relationships/hyperlink" Target="https://us.pandora.net/on/demandware.static/-/Sites-pandora-master-catalog/default/dwbb259ca6/productimages/singlepackshot/793066C01_RGB.png" TargetMode="External"/><Relationship Id="rId34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1602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3055" Type="http://schemas.openxmlformats.org/officeDocument/2006/relationships/hyperlink" Target="https://us.pandora.net/on/demandware.static/-/Sites-pandora-master-catalog/default/dwbb259ca6/productimages/singlepackshot/791282_RGB.png" TargetMode="External"/><Relationship Id="rId3262" Type="http://schemas.openxmlformats.org/officeDocument/2006/relationships/hyperlink" Target="https://us.pandora.net/on/demandware.static/-/Sites-pandora-master-catalog/default/dwbb259ca6/productimages/singlepackshot/793450C01_RGB.png" TargetMode="External"/><Relationship Id="rId183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390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1907" Type="http://schemas.openxmlformats.org/officeDocument/2006/relationships/hyperlink" Target="https://us.pandora.net/on/demandware.static/-/Sites-pandora-master-catalog/default/dwbb259ca6/productimages/singlepackshot/292549C01_RGB.png" TargetMode="External"/><Relationship Id="rId2071" Type="http://schemas.openxmlformats.org/officeDocument/2006/relationships/hyperlink" Target="https://us.pandora.net/on/demandware.static/-/Sites-pandora-master-catalog/default/dwbb259ca6/productimages/singlepackshot/393560C02_RGB.png" TargetMode="External"/><Relationship Id="rId3122" Type="http://schemas.openxmlformats.org/officeDocument/2006/relationships/hyperlink" Target="https://us.pandora.net/on/demandware.static/-/Sites-pandora-master-catalog/default/dwbb259ca6/productimages/singlepackshot/792291C01_RGB.png" TargetMode="External"/><Relationship Id="rId250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488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695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2169" Type="http://schemas.openxmlformats.org/officeDocument/2006/relationships/hyperlink" Target="https://us.pandora.net/on/demandware.static/-/Sites-pandora-master-catalog/default/dwbb259ca6/productimages/singlepackshot/563310C00_RGB.png" TargetMode="External"/><Relationship Id="rId2376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2583" Type="http://schemas.openxmlformats.org/officeDocument/2006/relationships/hyperlink" Target="https://us.pandora.net/on/demandware.static/-/Sites-pandora-master-catalog/default/dwbb259ca6/productimages/singlepackshot/593579C01_RGB.png" TargetMode="External"/><Relationship Id="rId2790" Type="http://schemas.openxmlformats.org/officeDocument/2006/relationships/hyperlink" Target="https://us.pandora.net/on/demandware.static/-/Sites-pandora-master-catalog/default/dwbb259ca6/productimages/singlepackshot/762711C01_RGB.png" TargetMode="External"/><Relationship Id="rId3427" Type="http://schemas.openxmlformats.org/officeDocument/2006/relationships/hyperlink" Target="https://us.pandora.net/on/demandware.static/-/Sites-pandora-master-catalog/default/dwbb259ca6/productimages/singlepackshot/797458_RGB.png" TargetMode="External"/><Relationship Id="rId110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48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55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762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1185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1392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2029" Type="http://schemas.openxmlformats.org/officeDocument/2006/relationships/hyperlink" Target="https://us.pandora.net/on/demandware.static/-/Sites-pandora-master-catalog/default/dwbb259ca6/productimages/singlepackshot/388425C02_RGB.png" TargetMode="External"/><Relationship Id="rId2236" Type="http://schemas.openxmlformats.org/officeDocument/2006/relationships/hyperlink" Target="https://us.pandora.net/on/demandware.static/-/Sites-pandora-master-catalog/default/dwbb259ca6/productimages/singlepackshot/563867C00_RGB.png" TargetMode="External"/><Relationship Id="rId2443" Type="http://schemas.openxmlformats.org/officeDocument/2006/relationships/hyperlink" Target="https://us.pandora.net/on/demandware.static/-/Sites-pandora-master-catalog/default/dwbb259ca6/productimages/singlepackshot/590719_RGB.png" TargetMode="External"/><Relationship Id="rId2650" Type="http://schemas.openxmlformats.org/officeDocument/2006/relationships/hyperlink" Target="https://us.pandora.net/on/demandware.static/-/Sites-pandora-master-catalog/default/dwbb259ca6/productimages/singlepackshot/594234C01_RGB.png" TargetMode="External"/><Relationship Id="rId2888" Type="http://schemas.openxmlformats.org/officeDocument/2006/relationships/hyperlink" Target="https://us.pandora.net/on/demandware.static/-/Sites-pandora-master-catalog/default/dwbb259ca6/productimages/singlepackshot/763949C00_RGB.png" TargetMode="External"/><Relationship Id="rId208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15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622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1045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252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1697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2303" Type="http://schemas.openxmlformats.org/officeDocument/2006/relationships/hyperlink" Target="https://us.pandora.net/on/demandware.static/-/Sites-pandora-master-catalog/default/dwbb259ca6/productimages/singlepackshot/569416C01_RGB.png" TargetMode="External"/><Relationship Id="rId2510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2748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2955" Type="http://schemas.openxmlformats.org/officeDocument/2006/relationships/hyperlink" Target="https://us.pandora.net/on/demandware.static/-/Sites-pandora-master-catalog/default/dwbb259ca6/productimages/singlepackshot/768869C00_RGB.png" TargetMode="External"/><Relationship Id="rId927" Type="http://schemas.openxmlformats.org/officeDocument/2006/relationships/hyperlink" Target="https://us.pandora.net/on/demandware.static/-/Sites-pandora-master-catalog/default/dwbb259ca6/productimages/singlepackshot/190980_RGB.png" TargetMode="External"/><Relationship Id="rId1112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557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1764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1971" Type="http://schemas.openxmlformats.org/officeDocument/2006/relationships/hyperlink" Target="https://us.pandora.net/on/demandware.static/-/Sites-pandora-master-catalog/default/dwbb259ca6/productimages/singlepackshot/298427C02_RGB.png" TargetMode="External"/><Relationship Id="rId2608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2815" Type="http://schemas.openxmlformats.org/officeDocument/2006/relationships/hyperlink" Target="https://us.pandora.net/on/demandware.static/-/Sites-pandora-master-catalog/default/dwbb259ca6/productimages/singlepackshot/763237C01_RGB.png" TargetMode="External"/><Relationship Id="rId56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417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1624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1831" Type="http://schemas.openxmlformats.org/officeDocument/2006/relationships/hyperlink" Target="https://us.pandora.net/on/demandware.static/-/Sites-pandora-master-catalog/default/dwbb259ca6/productimages/singlepackshot/263286C00_RGB.png" TargetMode="External"/><Relationship Id="rId3077" Type="http://schemas.openxmlformats.org/officeDocument/2006/relationships/hyperlink" Target="https://us.pandora.net/on/demandware.static/-/Sites-pandora-master-catalog/default/dwbb259ca6/productimages/singlepackshot/791728CZ_RGB.png" TargetMode="External"/><Relationship Id="rId3284" Type="http://schemas.openxmlformats.org/officeDocument/2006/relationships/hyperlink" Target="https://us.pandora.net/on/demandware.static/-/Sites-pandora-master-catalog/default/dwbb259ca6/productimages/singlepackshot/793595C01_RGB.png" TargetMode="External"/><Relationship Id="rId1929" Type="http://schemas.openxmlformats.org/officeDocument/2006/relationships/hyperlink" Target="https://us.pandora.net/on/demandware.static/-/Sites-pandora-master-catalog/default/dwbb259ca6/productimages/singlepackshot/293209C01_RGB.png" TargetMode="External"/><Relationship Id="rId2093" Type="http://schemas.openxmlformats.org/officeDocument/2006/relationships/hyperlink" Target="https://us.pandora.net/on/demandware.static/-/Sites-pandora-master-catalog/default/dwbb259ca6/productimages/singlepackshot/394259C01_RGB.png" TargetMode="External"/><Relationship Id="rId3491" Type="http://schemas.openxmlformats.org/officeDocument/2006/relationships/hyperlink" Target="https://us.pandora.net/on/demandware.static/-/Sites-pandora-master-catalog/default/dwbb259ca6/productimages/singlepackshot/798692C01_RGB.png" TargetMode="External"/><Relationship Id="rId2398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3144" Type="http://schemas.openxmlformats.org/officeDocument/2006/relationships/hyperlink" Target="https://us.pandora.net/on/demandware.static/-/Sites-pandora-master-catalog/default/dwbb259ca6/productimages/singlepackshot/792630C02_RGB.png" TargetMode="External"/><Relationship Id="rId3351" Type="http://schemas.openxmlformats.org/officeDocument/2006/relationships/hyperlink" Target="https://us.pandora.net/on/demandware.static/-/Sites-pandora-master-catalog/default/dwbb259ca6/productimages/singlepackshot/793913C01_RGB.png" TargetMode="External"/><Relationship Id="rId3449" Type="http://schemas.openxmlformats.org/officeDocument/2006/relationships/hyperlink" Target="https://us.pandora.net/on/demandware.static/-/Sites-pandora-master-catalog/default/dwbb259ca6/productimages/singlepackshot/797480_RGB.png" TargetMode="External"/><Relationship Id="rId272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577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2160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2258" Type="http://schemas.openxmlformats.org/officeDocument/2006/relationships/hyperlink" Target="https://us.pandora.net/on/demandware.static/-/Sites-pandora-master-catalog/default/dwbb259ca6/productimages/singlepackshot/564226C01_RGB.png" TargetMode="External"/><Relationship Id="rId3004" Type="http://schemas.openxmlformats.org/officeDocument/2006/relationships/hyperlink" Target="https://us.pandora.net/on/demandware.static/-/Sites-pandora-master-catalog/default/dwbb259ca6/productimages/singlepackshot/788761C01_RGB.png" TargetMode="External"/><Relationship Id="rId3211" Type="http://schemas.openxmlformats.org/officeDocument/2006/relationships/hyperlink" Target="https://us.pandora.net/on/demandware.static/-/Sites-pandora-master-catalog/default/dwbb259ca6/productimages/singlepackshot/793125C05_RGB.png" TargetMode="External"/><Relationship Id="rId132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784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991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1067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2020" Type="http://schemas.openxmlformats.org/officeDocument/2006/relationships/hyperlink" Target="https://us.pandora.net/on/demandware.static/-/Sites-pandora-master-catalog/default/dwbb259ca6/productimages/singlepackshot/382234C00_RGB.png" TargetMode="External"/><Relationship Id="rId2465" Type="http://schemas.openxmlformats.org/officeDocument/2006/relationships/hyperlink" Target="https://us.pandora.net/on/demandware.static/-/Sites-pandora-master-catalog/default/dwbb259ca6/productimages/singlepackshot/590745CBK_RGB.png" TargetMode="External"/><Relationship Id="rId2672" Type="http://schemas.openxmlformats.org/officeDocument/2006/relationships/hyperlink" Target="https://us.pandora.net/on/demandware.static/-/Sites-pandora-master-catalog/default/dwbb259ca6/productimages/singlepackshot/597770CZ_RGB.png" TargetMode="External"/><Relationship Id="rId3309" Type="http://schemas.openxmlformats.org/officeDocument/2006/relationships/hyperlink" Target="https://us.pandora.net/on/demandware.static/-/Sites-pandora-master-catalog/default/dwbb259ca6/productimages/singlepackshot/793746C01_RGB.png" TargetMode="External"/><Relationship Id="rId3516" Type="http://schemas.openxmlformats.org/officeDocument/2006/relationships/hyperlink" Target="https://us.pandora.net/on/demandware.static/-/Sites-pandora-master-catalog/default/dwbb259ca6/productimages/singlepackshot/799014C01_RGB.png" TargetMode="External"/><Relationship Id="rId437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644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851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1274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1481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1579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2118" Type="http://schemas.openxmlformats.org/officeDocument/2006/relationships/hyperlink" Target="https://us.pandora.net/on/demandware.static/-/Sites-pandora-master-catalog/default/dwbb259ca6/productimages/singlepackshot/550702_RGB.png" TargetMode="External"/><Relationship Id="rId2325" Type="http://schemas.openxmlformats.org/officeDocument/2006/relationships/hyperlink" Target="https://us.pandora.net/on/demandware.static/-/Sites-pandora-master-catalog/default/dwbb259ca6/productimages/singlepackshot/580719_RGB.png" TargetMode="External"/><Relationship Id="rId2532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977" Type="http://schemas.openxmlformats.org/officeDocument/2006/relationships/hyperlink" Target="https://us.pandora.net/on/demandware.static/-/Sites-pandora-master-catalog/default/dwbb259ca6/productimages/singlepackshot/782015C00_RGB.png" TargetMode="External"/><Relationship Id="rId504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711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949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134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341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786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1993" Type="http://schemas.openxmlformats.org/officeDocument/2006/relationships/hyperlink" Target="https://us.pandora.net/on/demandware.static/-/Sites-pandora-master-catalog/default/dwbb259ca6/productimages/singlepackshot/363303C01_RGB.png" TargetMode="External"/><Relationship Id="rId2837" Type="http://schemas.openxmlformats.org/officeDocument/2006/relationships/hyperlink" Target="https://us.pandora.net/on/demandware.static/-/Sites-pandora-master-catalog/default/dwbb259ca6/productimages/singlepackshot/763453C01_RGB.png" TargetMode="External"/><Relationship Id="rId78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809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201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39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646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853" Type="http://schemas.openxmlformats.org/officeDocument/2006/relationships/hyperlink" Target="https://us.pandora.net/on/demandware.static/-/Sites-pandora-master-catalog/default/dwbb259ca6/productimages/singlepackshot/263874C00_RGB.png" TargetMode="External"/><Relationship Id="rId2904" Type="http://schemas.openxmlformats.org/officeDocument/2006/relationships/hyperlink" Target="https://us.pandora.net/on/demandware.static/-/Sites-pandora-master-catalog/default/dwbb259ca6/productimages/singlepackshot/763965C00_RGB.png" TargetMode="External"/><Relationship Id="rId3099" Type="http://schemas.openxmlformats.org/officeDocument/2006/relationships/hyperlink" Target="https://us.pandora.net/on/demandware.static/-/Sites-pandora-master-catalog/default/dwbb259ca6/productimages/singlepackshot/792017CZ_E019_RGB.png" TargetMode="External"/><Relationship Id="rId1506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713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1920" Type="http://schemas.openxmlformats.org/officeDocument/2006/relationships/hyperlink" Target="https://us.pandora.net/on/demandware.static/-/Sites-pandora-master-catalog/default/dwbb259ca6/productimages/singlepackshot/293101C01_RGB.png" TargetMode="External"/><Relationship Id="rId3166" Type="http://schemas.openxmlformats.org/officeDocument/2006/relationships/hyperlink" Target="https://us.pandora.net/on/demandware.static/-/Sites-pandora-master-catalog/default/dwbb259ca6/productimages/singlepackshot/792766C01_RGB.png" TargetMode="External"/><Relationship Id="rId3373" Type="http://schemas.openxmlformats.org/officeDocument/2006/relationships/hyperlink" Target="https://us.pandora.net/on/demandware.static/-/Sites-pandora-master-catalog/default/dwbb259ca6/productimages/singlepackshot/794054C00_RGB.png" TargetMode="External"/><Relationship Id="rId294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2182" Type="http://schemas.openxmlformats.org/officeDocument/2006/relationships/hyperlink" Target="https://us.pandora.net/on/demandware.static/-/Sites-pandora-master-catalog/default/dwbb259ca6/productimages/singlepackshot/563401C01_RGB.png" TargetMode="External"/><Relationship Id="rId3026" Type="http://schemas.openxmlformats.org/officeDocument/2006/relationships/hyperlink" Target="https://us.pandora.net/on/demandware.static/-/Sites-pandora-master-catalog/default/dwbb259ca6/productimages/singlepackshot/790065C05_RGB.png" TargetMode="External"/><Relationship Id="rId3233" Type="http://schemas.openxmlformats.org/officeDocument/2006/relationships/hyperlink" Target="https://us.pandora.net/on/demandware.static/-/Sites-pandora-master-catalog/default/dwbb259ca6/productimages/singlepackshot/793337C05_RGB.png" TargetMode="External"/><Relationship Id="rId154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361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599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2042" Type="http://schemas.openxmlformats.org/officeDocument/2006/relationships/hyperlink" Target="https://us.pandora.net/on/demandware.static/-/Sites-pandora-master-catalog/default/dwbb259ca6/productimages/singlepackshot/392620C01_RGB.png" TargetMode="External"/><Relationship Id="rId2487" Type="http://schemas.openxmlformats.org/officeDocument/2006/relationships/hyperlink" Target="https://us.pandora.net/on/demandware.static/-/Sites-pandora-master-catalog/default/dwbb259ca6/productimages/singlepackshot/591469C02_RGB.png" TargetMode="External"/><Relationship Id="rId2694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3440" Type="http://schemas.openxmlformats.org/officeDocument/2006/relationships/hyperlink" Target="https://us.pandora.net/on/demandware.static/-/Sites-pandora-master-catalog/default/dwbb259ca6/productimages/singlepackshot/797471_RGB.png" TargetMode="External"/><Relationship Id="rId3538" Type="http://schemas.openxmlformats.org/officeDocument/2006/relationships/hyperlink" Target="https://us.pandora.net/on/demandware.static/-/Sites-pandora-master-catalog/default/dwbb259ca6/productimages/singlepackshot/799392C01_RGB.png" TargetMode="External"/><Relationship Id="rId459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666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873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1089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1296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2347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4" Type="http://schemas.openxmlformats.org/officeDocument/2006/relationships/hyperlink" Target="https://us.pandora.net/on/demandware.static/-/Sites-pandora-master-catalog/default/dwbb259ca6/productimages/singlepackshot/593173C01_RGB.png" TargetMode="External"/><Relationship Id="rId2999" Type="http://schemas.openxmlformats.org/officeDocument/2006/relationships/hyperlink" Target="https://us.pandora.net/on/demandware.static/-/Sites-pandora-master-catalog/default/dwbb259ca6/productimages/singlepackshot/787785CZ_RGB.png" TargetMode="External"/><Relationship Id="rId3300" Type="http://schemas.openxmlformats.org/officeDocument/2006/relationships/hyperlink" Target="https://us.pandora.net/on/demandware.static/-/Sites-pandora-master-catalog/default/dwbb259ca6/productimages/singlepackshot/793679C01_RGB.png" TargetMode="External"/><Relationship Id="rId221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319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526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1156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363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2207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761" Type="http://schemas.openxmlformats.org/officeDocument/2006/relationships/hyperlink" Target="https://us.pandora.net/on/demandware.static/-/Sites-pandora-master-catalog/default/dwbb259ca6/productimages/singlepackshot/752328C00_RGB.png" TargetMode="External"/><Relationship Id="rId2859" Type="http://schemas.openxmlformats.org/officeDocument/2006/relationships/hyperlink" Target="https://us.pandora.net/on/demandware.static/-/Sites-pandora-master-catalog/default/dwbb259ca6/productimages/singlepackshot/763650C01_RGB.png" TargetMode="External"/><Relationship Id="rId733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940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016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570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1668" Type="http://schemas.openxmlformats.org/officeDocument/2006/relationships/hyperlink" Target="https://us.pandora.net/on/demandware.static/-/Sites-pandora-master-catalog/default/dwbb259ca6/productimages/singlepackshot/197681_RGB.png" TargetMode="External"/><Relationship Id="rId1875" Type="http://schemas.openxmlformats.org/officeDocument/2006/relationships/hyperlink" Target="https://us.pandora.net/on/demandware.static/-/Sites-pandora-master-catalog/default/dwbb259ca6/productimages/singlepackshot/288427C02_RGB.png" TargetMode="External"/><Relationship Id="rId2414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621" Type="http://schemas.openxmlformats.org/officeDocument/2006/relationships/hyperlink" Target="https://us.pandora.net/on/demandware.static/-/Sites-pandora-master-catalog/default/dwbb259ca6/productimages/singlepackshot/593853C00_RGB.png" TargetMode="External"/><Relationship Id="rId2719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800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1223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430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1528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2926" Type="http://schemas.openxmlformats.org/officeDocument/2006/relationships/hyperlink" Target="https://us.pandora.net/on/demandware.static/-/Sites-pandora-master-catalog/default/dwbb259ca6/productimages/singlepackshot/764057C00_RGB.png" TargetMode="External"/><Relationship Id="rId3090" Type="http://schemas.openxmlformats.org/officeDocument/2006/relationships/hyperlink" Target="https://us.pandora.net/on/demandware.static/-/Sites-pandora-master-catalog/default/dwbb259ca6/productimages/singlepackshot/791972CZ_RGB.png" TargetMode="External"/><Relationship Id="rId1735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1942" Type="http://schemas.openxmlformats.org/officeDocument/2006/relationships/hyperlink" Target="https://us.pandora.net/on/demandware.static/-/Sites-pandora-master-catalog/default/dwbb259ca6/productimages/singlepackshot/293543C01_RGB.png" TargetMode="External"/><Relationship Id="rId3188" Type="http://schemas.openxmlformats.org/officeDocument/2006/relationships/hyperlink" Target="https://us.pandora.net/on/demandware.static/-/Sites-pandora-master-catalog/default/dwbb259ca6/productimages/singlepackshot/793042C01_RGB.png" TargetMode="External"/><Relationship Id="rId3395" Type="http://schemas.openxmlformats.org/officeDocument/2006/relationships/hyperlink" Target="https://us.pandora.net/on/demandware.static/-/Sites-pandora-master-catalog/default/dwbb259ca6/productimages/singlepackshot/794224C01_RGB.png" TargetMode="External"/><Relationship Id="rId27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1802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048" Type="http://schemas.openxmlformats.org/officeDocument/2006/relationships/hyperlink" Target="https://us.pandora.net/on/demandware.static/-/Sites-pandora-master-catalog/default/dwbb259ca6/productimages/singlepackshot/791057C01_RGB.png" TargetMode="External"/><Relationship Id="rId3255" Type="http://schemas.openxmlformats.org/officeDocument/2006/relationships/hyperlink" Target="https://us.pandora.net/on/demandware.static/-/Sites-pandora-master-catalog/default/dwbb259ca6/productimages/singlepackshot/793424C01_RGB.png" TargetMode="External"/><Relationship Id="rId3462" Type="http://schemas.openxmlformats.org/officeDocument/2006/relationships/hyperlink" Target="https://us.pandora.net/on/demandware.static/-/Sites-pandora-master-catalog/default/dwbb259ca6/productimages/singlepackshot/798021CZ_RGB.png" TargetMode="External"/><Relationship Id="rId176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383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590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2064" Type="http://schemas.openxmlformats.org/officeDocument/2006/relationships/hyperlink" Target="https://us.pandora.net/on/demandware.static/-/Sites-pandora-master-catalog/default/dwbb259ca6/productimages/singlepackshot/393377C00_RGB.png" TargetMode="External"/><Relationship Id="rId2271" Type="http://schemas.openxmlformats.org/officeDocument/2006/relationships/hyperlink" Target="https://us.pandora.net/on/demandware.static/-/Sites-pandora-master-catalog/default/dwbb259ca6/productimages/singlepackshot/568342C01_RGB.png" TargetMode="External"/><Relationship Id="rId3115" Type="http://schemas.openxmlformats.org/officeDocument/2006/relationships/hyperlink" Target="https://us.pandora.net/on/demandware.static/-/Sites-pandora-master-catalog/default/dwbb259ca6/productimages/singlepackshot/792235C01_RGB.png" TargetMode="External"/><Relationship Id="rId3322" Type="http://schemas.openxmlformats.org/officeDocument/2006/relationships/hyperlink" Target="https://us.pandora.net/on/demandware.static/-/Sites-pandora-master-catalog/default/dwbb259ca6/productimages/singlepackshot/793783C01_RGB.png" TargetMode="External"/><Relationship Id="rId243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450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688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895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1080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2131" Type="http://schemas.openxmlformats.org/officeDocument/2006/relationships/hyperlink" Target="https://us.pandora.net/on/demandware.static/-/Sites-pandora-master-catalog/default/dwbb259ca6/productimages/singlepackshot/561469C01_RGB.png" TargetMode="External"/><Relationship Id="rId2369" Type="http://schemas.openxmlformats.org/officeDocument/2006/relationships/hyperlink" Target="https://us.pandora.net/on/demandware.static/-/Sites-pandora-master-catalog/default/dwbb259ca6/productimages/singlepackshot/588342CZ_RGB.png" TargetMode="External"/><Relationship Id="rId2576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2783" Type="http://schemas.openxmlformats.org/officeDocument/2006/relationships/hyperlink" Target="https://us.pandora.net/on/demandware.static/-/Sites-pandora-master-catalog/default/dwbb259ca6/productimages/singlepackshot/762676C01_RGB.png" TargetMode="External"/><Relationship Id="rId2990" Type="http://schemas.openxmlformats.org/officeDocument/2006/relationships/hyperlink" Target="https://us.pandora.net/on/demandware.static/-/Sites-pandora-master-catalog/default/dwbb259ca6/productimages/singlepackshot/783042C01_RGB.png" TargetMode="External"/><Relationship Id="rId103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10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548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755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962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178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1385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1592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2229" Type="http://schemas.openxmlformats.org/officeDocument/2006/relationships/hyperlink" Target="https://us.pandora.net/on/demandware.static/-/Sites-pandora-master-catalog/default/dwbb259ca6/productimages/singlepackshot/563830C01_RGB.png" TargetMode="External"/><Relationship Id="rId2436" Type="http://schemas.openxmlformats.org/officeDocument/2006/relationships/hyperlink" Target="https://us.pandora.net/on/demandware.static/-/Sites-pandora-master-catalog/default/dwbb259ca6/productimages/singlepackshot/590713_RGB.png" TargetMode="External"/><Relationship Id="rId2643" Type="http://schemas.openxmlformats.org/officeDocument/2006/relationships/hyperlink" Target="https://us.pandora.net/on/demandware.static/-/Sites-pandora-master-catalog/default/dwbb259ca6/productimages/singlepackshot/594226C01_RGB.png" TargetMode="External"/><Relationship Id="rId2850" Type="http://schemas.openxmlformats.org/officeDocument/2006/relationships/hyperlink" Target="https://us.pandora.net/on/demandware.static/-/Sites-pandora-master-catalog/default/dwbb259ca6/productimages/singlepackshot/763590C01_RGB.png" TargetMode="External"/><Relationship Id="rId91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408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615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822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1038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245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452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897" Type="http://schemas.openxmlformats.org/officeDocument/2006/relationships/hyperlink" Target="https://us.pandora.net/on/demandware.static/-/Sites-pandora-master-catalog/default/dwbb259ca6/productimages/singlepackshot/292334C05_RGB.png" TargetMode="External"/><Relationship Id="rId2503" Type="http://schemas.openxmlformats.org/officeDocument/2006/relationships/hyperlink" Target="https://us.pandora.net/on/demandware.static/-/Sites-pandora-master-catalog/default/dwbb259ca6/productimages/singlepackshot/592340C00_RGB.png" TargetMode="External"/><Relationship Id="rId2948" Type="http://schemas.openxmlformats.org/officeDocument/2006/relationships/hyperlink" Target="https://us.pandora.net/on/demandware.static/-/Sites-pandora-master-catalog/default/dwbb259ca6/productimages/singlepackshot/768035C00_RGB.png" TargetMode="External"/><Relationship Id="rId1105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312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757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1964" Type="http://schemas.openxmlformats.org/officeDocument/2006/relationships/hyperlink" Target="https://us.pandora.net/on/demandware.static/-/Sites-pandora-master-catalog/default/dwbb259ca6/productimages/singlepackshot/294265C01_RGB.png" TargetMode="External"/><Relationship Id="rId2710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2808" Type="http://schemas.openxmlformats.org/officeDocument/2006/relationships/hyperlink" Target="https://us.pandora.net/on/demandware.static/-/Sites-pandora-master-catalog/default/dwbb259ca6/productimages/singlepackshot/763035C01_RGB.png" TargetMode="External"/><Relationship Id="rId49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617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1824" Type="http://schemas.openxmlformats.org/officeDocument/2006/relationships/hyperlink" Target="https://us.pandora.net/on/demandware.static/-/Sites-pandora-master-catalog/default/dwbb259ca6/productimages/singlepackshot/263261C01_RGB.png" TargetMode="External"/><Relationship Id="rId3277" Type="http://schemas.openxmlformats.org/officeDocument/2006/relationships/hyperlink" Target="https://us.pandora.net/on/demandware.static/-/Sites-pandora-master-catalog/default/dwbb259ca6/productimages/singlepackshot/793568C01_RGB.png" TargetMode="External"/><Relationship Id="rId198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2086" Type="http://schemas.openxmlformats.org/officeDocument/2006/relationships/hyperlink" Target="https://us.pandora.net/on/demandware.static/-/Sites-pandora-master-catalog/default/dwbb259ca6/productimages/singlepackshot/394012C01_RGB.png" TargetMode="External"/><Relationship Id="rId3484" Type="http://schemas.openxmlformats.org/officeDocument/2006/relationships/hyperlink" Target="https://us.pandora.net/on/demandware.static/-/Sites-pandora-master-catalog/default/dwbb259ca6/productimages/singlepackshot/798428C01_RGB.png" TargetMode="External"/><Relationship Id="rId2293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2598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3137" Type="http://schemas.openxmlformats.org/officeDocument/2006/relationships/hyperlink" Target="https://us.pandora.net/on/demandware.static/-/Sites-pandora-master-catalog/default/dwbb259ca6/productimages/singlepackshot/792554C01_RGB.png" TargetMode="External"/><Relationship Id="rId3344" Type="http://schemas.openxmlformats.org/officeDocument/2006/relationships/hyperlink" Target="https://us.pandora.net/on/demandware.static/-/Sites-pandora-master-catalog/default/dwbb259ca6/productimages/singlepackshot/793905C01_RGB.png" TargetMode="External"/><Relationship Id="rId3551" Type="http://schemas.openxmlformats.org/officeDocument/2006/relationships/hyperlink" Target="https://us.pandora.net/on/demandware.static/-/Sites-pandora-master-catalog/default/dwbb259ca6/productimages/singlepackshot/799599C01_RGB.png" TargetMode="External"/><Relationship Id="rId265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472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2153" Type="http://schemas.openxmlformats.org/officeDocument/2006/relationships/hyperlink" Target="https://us.pandora.net/on/demandware.static/-/Sites-pandora-master-catalog/default/dwbb259ca6/productimages/singlepackshot/563008C01_RGB.png" TargetMode="External"/><Relationship Id="rId2360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3204" Type="http://schemas.openxmlformats.org/officeDocument/2006/relationships/hyperlink" Target="https://us.pandora.net/on/demandware.static/-/Sites-pandora-master-catalog/default/dwbb259ca6/productimages/singlepackshot/793108C01_RGB.png" TargetMode="External"/><Relationship Id="rId3411" Type="http://schemas.openxmlformats.org/officeDocument/2006/relationships/hyperlink" Target="https://us.pandora.net/on/demandware.static/-/Sites-pandora-master-catalog/default/dwbb259ca6/productimages/singlepackshot/794272C01_RGB.png" TargetMode="External"/><Relationship Id="rId125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332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777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984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2013" Type="http://schemas.openxmlformats.org/officeDocument/2006/relationships/hyperlink" Target="https://us.pandora.net/on/demandware.static/-/Sites-pandora-master-catalog/default/dwbb259ca6/productimages/singlepackshot/368611C00_RGB.png" TargetMode="External"/><Relationship Id="rId2220" Type="http://schemas.openxmlformats.org/officeDocument/2006/relationships/hyperlink" Target="https://us.pandora.net/on/demandware.static/-/Sites-pandora-master-catalog/default/dwbb259ca6/productimages/singlepackshot/563811C00_RGB.png" TargetMode="External"/><Relationship Id="rId2458" Type="http://schemas.openxmlformats.org/officeDocument/2006/relationships/hyperlink" Target="https://us.pandora.net/on/demandware.static/-/Sites-pandora-master-catalog/default/dwbb259ca6/productimages/singlepackshot/590728_RGB.png" TargetMode="External"/><Relationship Id="rId2665" Type="http://schemas.openxmlformats.org/officeDocument/2006/relationships/hyperlink" Target="https://us.pandora.net/on/demandware.static/-/Sites-pandora-master-catalog/default/dwbb259ca6/productimages/singlepackshot/596268_RGB.png" TargetMode="External"/><Relationship Id="rId2872" Type="http://schemas.openxmlformats.org/officeDocument/2006/relationships/hyperlink" Target="https://us.pandora.net/on/demandware.static/-/Sites-pandora-master-catalog/default/dwbb259ca6/productimages/singlepackshot/763818C01_RGB.png" TargetMode="External"/><Relationship Id="rId3509" Type="http://schemas.openxmlformats.org/officeDocument/2006/relationships/hyperlink" Target="https://us.pandora.net/on/demandware.static/-/Sites-pandora-master-catalog/default/dwbb259ca6/productimages/singlepackshot/798907C01_RGB.png" TargetMode="External"/><Relationship Id="rId637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844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267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1474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1681" Type="http://schemas.openxmlformats.org/officeDocument/2006/relationships/hyperlink" Target="https://us.pandora.net/on/demandware.static/-/Sites-pandora-master-catalog/default/dwbb259ca6/productimages/singlepackshot/198018_RGB.png" TargetMode="External"/><Relationship Id="rId2318" Type="http://schemas.openxmlformats.org/officeDocument/2006/relationships/hyperlink" Target="https://us.pandora.net/on/demandware.static/-/Sites-pandora-master-catalog/default/dwbb259ca6/productimages/singlepackshot/569662C00_RGB.png" TargetMode="External"/><Relationship Id="rId2525" Type="http://schemas.openxmlformats.org/officeDocument/2006/relationships/hyperlink" Target="https://us.pandora.net/on/demandware.static/-/Sites-pandora-master-catalog/default/dwbb259ca6/productimages/singlepackshot/592793C00_RGB.png" TargetMode="External"/><Relationship Id="rId2732" Type="http://schemas.openxmlformats.org/officeDocument/2006/relationships/hyperlink" Target="https://us.pandora.net/on/demandware.static/-/Sites-pandora-master-catalog/default/dwbb259ca6/productimages/singlepackshot/599416C01_RGB.png" TargetMode="External"/><Relationship Id="rId704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911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127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334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41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1779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1986" Type="http://schemas.openxmlformats.org/officeDocument/2006/relationships/hyperlink" Target="https://us.pandora.net/on/demandware.static/-/Sites-pandora-master-catalog/default/dwbb259ca6/productimages/singlepackshot/363014C01_RGB.png" TargetMode="External"/><Relationship Id="rId40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401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639" Type="http://schemas.openxmlformats.org/officeDocument/2006/relationships/hyperlink" Target="https://us.pandora.net/on/demandware.static/-/Sites-pandora-master-catalog/default/dwbb259ca6/productimages/singlepackshot/196314_RGB.png" TargetMode="External"/><Relationship Id="rId1846" Type="http://schemas.openxmlformats.org/officeDocument/2006/relationships/hyperlink" Target="https://us.pandora.net/on/demandware.static/-/Sites-pandora-master-catalog/default/dwbb259ca6/productimages/singlepackshot/263849C01_RGB.png" TargetMode="External"/><Relationship Id="rId3061" Type="http://schemas.openxmlformats.org/officeDocument/2006/relationships/hyperlink" Target="https://us.pandora.net/on/demandware.static/-/Sites-pandora-master-catalog/default/dwbb259ca6/productimages/singlepackshot/791507C00_RGB.png" TargetMode="External"/><Relationship Id="rId3299" Type="http://schemas.openxmlformats.org/officeDocument/2006/relationships/hyperlink" Target="https://us.pandora.net/on/demandware.static/-/Sites-pandora-master-catalog/default/dwbb259ca6/productimages/singlepackshot/793676C01_RGB.png" TargetMode="External"/><Relationship Id="rId1706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1913" Type="http://schemas.openxmlformats.org/officeDocument/2006/relationships/hyperlink" Target="https://us.pandora.net/on/demandware.static/-/Sites-pandora-master-catalog/default/dwbb259ca6/productimages/singlepackshot/292834C01_RGB.png" TargetMode="External"/><Relationship Id="rId3159" Type="http://schemas.openxmlformats.org/officeDocument/2006/relationships/hyperlink" Target="https://us.pandora.net/on/demandware.static/-/Sites-pandora-master-catalog/default/dwbb259ca6/productimages/singlepackshot/792714C01_RGB.png" TargetMode="External"/><Relationship Id="rId3366" Type="http://schemas.openxmlformats.org/officeDocument/2006/relationships/hyperlink" Target="https://us.pandora.net/on/demandware.static/-/Sites-pandora-master-catalog/default/dwbb259ca6/productimages/singlepackshot/794024C01_RGB.png" TargetMode="External"/><Relationship Id="rId287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494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2175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2382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3019" Type="http://schemas.openxmlformats.org/officeDocument/2006/relationships/hyperlink" Target="https://us.pandora.net/on/demandware.static/-/Sites-pandora-master-catalog/default/dwbb259ca6/productimages/singlepackshot/789541C01_RGB.png" TargetMode="External"/><Relationship Id="rId3226" Type="http://schemas.openxmlformats.org/officeDocument/2006/relationships/hyperlink" Target="https://us.pandora.net/on/demandware.static/-/Sites-pandora-master-catalog/default/dwbb259ca6/productimages/singlepackshot/793252C00_RGB.png" TargetMode="External"/><Relationship Id="rId147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354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799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1191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35" Type="http://schemas.openxmlformats.org/officeDocument/2006/relationships/hyperlink" Target="https://us.pandora.net/on/demandware.static/-/Sites-pandora-master-catalog/default/dwbb259ca6/productimages/singlepackshot/391229C01_RGB.png" TargetMode="External"/><Relationship Id="rId2687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2894" Type="http://schemas.openxmlformats.org/officeDocument/2006/relationships/hyperlink" Target="https://us.pandora.net/on/demandware.static/-/Sites-pandora-master-catalog/default/dwbb259ca6/productimages/singlepackshot/763955C00_RGB.png" TargetMode="External"/><Relationship Id="rId3433" Type="http://schemas.openxmlformats.org/officeDocument/2006/relationships/hyperlink" Target="https://us.pandora.net/on/demandware.static/-/Sites-pandora-master-catalog/default/dwbb259ca6/productimages/singlepackshot/797464_RGB.png" TargetMode="External"/><Relationship Id="rId561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659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866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289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1496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2242" Type="http://schemas.openxmlformats.org/officeDocument/2006/relationships/hyperlink" Target="https://us.pandora.net/on/demandware.static/-/Sites-pandora-master-catalog/default/dwbb259ca6/productimages/singlepackshot/564010C01_RGB.png" TargetMode="External"/><Relationship Id="rId2547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3500" Type="http://schemas.openxmlformats.org/officeDocument/2006/relationships/hyperlink" Target="https://us.pandora.net/on/demandware.static/-/Sites-pandora-master-catalog/default/dwbb259ca6/productimages/singlepackshot/798869C00_RGB.png" TargetMode="External"/><Relationship Id="rId214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421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519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1051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149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56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2102" Type="http://schemas.openxmlformats.org/officeDocument/2006/relationships/hyperlink" Target="https://us.pandora.net/on/demandware.static/-/Sites-pandora-master-catalog/default/dwbb259ca6/productimages/singlepackshot/398425C02_RGB.png" TargetMode="External"/><Relationship Id="rId2754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2961" Type="http://schemas.openxmlformats.org/officeDocument/2006/relationships/hyperlink" Target="https://us.pandora.net/on/demandware.static/-/Sites-pandora-master-catalog/default/dwbb259ca6/productimages/singlepackshot/769352C01_RGB.png" TargetMode="External"/><Relationship Id="rId726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933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009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563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1770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1868" Type="http://schemas.openxmlformats.org/officeDocument/2006/relationships/hyperlink" Target="https://us.pandora.net/on/demandware.static/-/Sites-pandora-master-catalog/default/dwbb259ca6/productimages/singlepackshot/280528CZ_RGB.png" TargetMode="External"/><Relationship Id="rId2407" Type="http://schemas.openxmlformats.org/officeDocument/2006/relationships/hyperlink" Target="https://us.pandora.net/on/demandware.static/-/Sites-pandora-master-catalog/default/dwbb259ca6/productimages/singlepackshot/590041C02_RGB.png" TargetMode="External"/><Relationship Id="rId2614" Type="http://schemas.openxmlformats.org/officeDocument/2006/relationships/hyperlink" Target="https://us.pandora.net/on/demandware.static/-/Sites-pandora-master-catalog/default/dwbb259ca6/productimages/singlepackshot/593816C01_RGB.png" TargetMode="External"/><Relationship Id="rId2821" Type="http://schemas.openxmlformats.org/officeDocument/2006/relationships/hyperlink" Target="https://us.pandora.net/on/demandware.static/-/Sites-pandora-master-catalog/default/dwbb259ca6/productimages/singlepackshot/763366C01_RGB.png" TargetMode="External"/><Relationship Id="rId62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216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423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630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2919" Type="http://schemas.openxmlformats.org/officeDocument/2006/relationships/hyperlink" Target="https://us.pandora.net/on/demandware.static/-/Sites-pandora-master-catalog/default/dwbb259ca6/productimages/singlepackshot/764042C00_RGB.png" TargetMode="External"/><Relationship Id="rId3083" Type="http://schemas.openxmlformats.org/officeDocument/2006/relationships/hyperlink" Target="https://us.pandora.net/on/demandware.static/-/Sites-pandora-master-catalog/default/dwbb259ca6/productimages/singlepackshot/791817NSBMX_RGB.png" TargetMode="External"/><Relationship Id="rId3290" Type="http://schemas.openxmlformats.org/officeDocument/2006/relationships/hyperlink" Target="https://us.pandora.net/on/demandware.static/-/Sites-pandora-master-catalog/default/dwbb259ca6/productimages/singlepackshot/793604C01_RGB.png" TargetMode="External"/><Relationship Id="rId1728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1935" Type="http://schemas.openxmlformats.org/officeDocument/2006/relationships/hyperlink" Target="https://us.pandora.net/on/demandware.static/-/Sites-pandora-master-catalog/default/dwbb259ca6/productimages/singlepackshot/293320C00_RGB.png" TargetMode="External"/><Relationship Id="rId3150" Type="http://schemas.openxmlformats.org/officeDocument/2006/relationships/hyperlink" Target="https://us.pandora.net/on/demandware.static/-/Sites-pandora-master-catalog/default/dwbb259ca6/productimages/singlepackshot/792679C01_RGB.png" TargetMode="External"/><Relationship Id="rId3388" Type="http://schemas.openxmlformats.org/officeDocument/2006/relationships/hyperlink" Target="https://us.pandora.net/on/demandware.static/-/Sites-pandora-master-catalog/default/dwbb259ca6/productimages/singlepackshot/794161C04_RGB.png" TargetMode="External"/><Relationship Id="rId2197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3010" Type="http://schemas.openxmlformats.org/officeDocument/2006/relationships/hyperlink" Target="https://us.pandora.net/on/demandware.static/-/Sites-pandora-master-catalog/default/dwbb259ca6/productimages/singlepackshot/788878C01_RGB.png" TargetMode="External"/><Relationship Id="rId3248" Type="http://schemas.openxmlformats.org/officeDocument/2006/relationships/hyperlink" Target="https://us.pandora.net/on/demandware.static/-/Sites-pandora-master-catalog/default/dwbb259ca6/productimages/singlepackshot/793370C01_RGB.png" TargetMode="External"/><Relationship Id="rId3455" Type="http://schemas.openxmlformats.org/officeDocument/2006/relationships/hyperlink" Target="https://us.pandora.net/on/demandware.static/-/Sites-pandora-master-catalog/default/dwbb259ca6/productimages/singlepackshot/797868_RGB.png" TargetMode="External"/><Relationship Id="rId169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376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583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790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2057" Type="http://schemas.openxmlformats.org/officeDocument/2006/relationships/hyperlink" Target="https://us.pandora.net/on/demandware.static/-/Sites-pandora-master-catalog/default/dwbb259ca6/productimages/singlepackshot/393167C01_RGB.png" TargetMode="External"/><Relationship Id="rId2264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2471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3108" Type="http://schemas.openxmlformats.org/officeDocument/2006/relationships/hyperlink" Target="https://us.pandora.net/on/demandware.static/-/Sites-pandora-master-catalog/default/dwbb259ca6/productimages/singlepackshot/792100CZ_RGB.png" TargetMode="External"/><Relationship Id="rId3315" Type="http://schemas.openxmlformats.org/officeDocument/2006/relationships/hyperlink" Target="https://us.pandora.net/on/demandware.static/-/Sites-pandora-master-catalog/default/dwbb259ca6/productimages/singlepackshot/793765C01_RGB.png" TargetMode="External"/><Relationship Id="rId3522" Type="http://schemas.openxmlformats.org/officeDocument/2006/relationships/hyperlink" Target="https://us.pandora.net/on/demandware.static/-/Sites-pandora-master-catalog/default/dwbb259ca6/productimages/singlepackshot/799153C01_RGB.png" TargetMode="External"/><Relationship Id="rId4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36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443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650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888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1073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1280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2124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331" Type="http://schemas.openxmlformats.org/officeDocument/2006/relationships/hyperlink" Target="https://us.pandora.net/on/demandware.static/-/Sites-pandora-master-catalog/default/dwbb259ca6/productimages/singlepackshot/580728_RGB.png" TargetMode="External"/><Relationship Id="rId2569" Type="http://schemas.openxmlformats.org/officeDocument/2006/relationships/hyperlink" Target="https://us.pandora.net/on/demandware.static/-/Sites-pandora-master-catalog/default/dwbb259ca6/productimages/singlepackshot/593400C01_RGB.png" TargetMode="External"/><Relationship Id="rId2776" Type="http://schemas.openxmlformats.org/officeDocument/2006/relationships/hyperlink" Target="https://us.pandora.net/on/demandware.static/-/Sites-pandora-master-catalog/default/dwbb259ca6/productimages/singlepackshot/762212C01_RGB.png" TargetMode="External"/><Relationship Id="rId2983" Type="http://schemas.openxmlformats.org/officeDocument/2006/relationships/hyperlink" Target="https://us.pandora.net/on/demandware.static/-/Sites-pandora-master-catalog/default/dwbb259ca6/productimages/singlepackshot/782555C01_RGB.png" TargetMode="External"/><Relationship Id="rId303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748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955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140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1378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1585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1792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2429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2636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2843" Type="http://schemas.openxmlformats.org/officeDocument/2006/relationships/hyperlink" Target="https://us.pandora.net/on/demandware.static/-/Sites-pandora-master-catalog/default/dwbb259ca6/productimages/singlepackshot/763462C10_RGB.png" TargetMode="External"/><Relationship Id="rId84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510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608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815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238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445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652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000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1305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957" Type="http://schemas.openxmlformats.org/officeDocument/2006/relationships/hyperlink" Target="https://us.pandora.net/on/demandware.static/-/Sites-pandora-master-catalog/default/dwbb259ca6/productimages/singlepackshot/293851C01_RGB.png" TargetMode="External"/><Relationship Id="rId2703" Type="http://schemas.openxmlformats.org/officeDocument/2006/relationships/hyperlink" Target="https://us.pandora.net/on/demandware.static/-/Sites-pandora-master-catalog/default/dwbb259ca6/productimages/singlepackshot/599190C01_RGB.png" TargetMode="External"/><Relationship Id="rId2910" Type="http://schemas.openxmlformats.org/officeDocument/2006/relationships/hyperlink" Target="https://us.pandora.net/on/demandware.static/-/Sites-pandora-master-catalog/default/dwbb259ca6/productimages/singlepackshot/763971C00_RGB.png" TargetMode="External"/><Relationship Id="rId1512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817" Type="http://schemas.openxmlformats.org/officeDocument/2006/relationships/hyperlink" Target="https://us.pandora.net/on/demandware.static/-/Sites-pandora-master-catalog/default/dwbb259ca6/productimages/singlepackshot/263003C01_RGB.png" TargetMode="External"/><Relationship Id="rId3172" Type="http://schemas.openxmlformats.org/officeDocument/2006/relationships/hyperlink" Target="https://us.pandora.net/on/demandware.static/-/Sites-pandora-master-catalog/default/dwbb259ca6/productimages/singlepackshot/792828C00_RGB.png" TargetMode="External"/><Relationship Id="rId11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398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2079" Type="http://schemas.openxmlformats.org/officeDocument/2006/relationships/hyperlink" Target="https://us.pandora.net/on/demandware.static/-/Sites-pandora-master-catalog/default/dwbb259ca6/productimages/singlepackshot/393762C01_RGB.png" TargetMode="External"/><Relationship Id="rId3032" Type="http://schemas.openxmlformats.org/officeDocument/2006/relationships/hyperlink" Target="https://us.pandora.net/on/demandware.static/-/Sites-pandora-master-catalog/default/dwbb259ca6/productimages/singlepackshot/790088C01_RGB.png" TargetMode="External"/><Relationship Id="rId3477" Type="http://schemas.openxmlformats.org/officeDocument/2006/relationships/hyperlink" Target="https://us.pandora.net/on/demandware.static/-/Sites-pandora-master-catalog/default/dwbb259ca6/productimages/singlepackshot/798417C01_RGB.png" TargetMode="External"/><Relationship Id="rId160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2286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2493" Type="http://schemas.openxmlformats.org/officeDocument/2006/relationships/hyperlink" Target="https://us.pandora.net/on/demandware.static/-/Sites-pandora-master-catalog/default/dwbb259ca6/productimages/singlepackshot/591469C04_RGB.png" TargetMode="External"/><Relationship Id="rId3337" Type="http://schemas.openxmlformats.org/officeDocument/2006/relationships/hyperlink" Target="https://us.pandora.net/on/demandware.static/-/Sites-pandora-master-catalog/default/dwbb259ca6/productimages/singlepackshot/793863C01_RGB.png" TargetMode="External"/><Relationship Id="rId3544" Type="http://schemas.openxmlformats.org/officeDocument/2006/relationships/hyperlink" Target="https://us.pandora.net/on/demandware.static/-/Sites-pandora-master-catalog/default/dwbb259ca6/productimages/singlepackshot/799439C00_RGB.png" TargetMode="External"/><Relationship Id="rId258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465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672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1095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2146" Type="http://schemas.openxmlformats.org/officeDocument/2006/relationships/hyperlink" Target="https://us.pandora.net/on/demandware.static/-/Sites-pandora-master-catalog/default/dwbb259ca6/productimages/singlepackshot/562793C00_RGB.png" TargetMode="External"/><Relationship Id="rId2353" Type="http://schemas.openxmlformats.org/officeDocument/2006/relationships/hyperlink" Target="https://us.pandora.net/on/demandware.static/-/Sites-pandora-master-catalog/default/dwbb259ca6/productimages/singlepackshot/582731C00_RGB.png" TargetMode="External"/><Relationship Id="rId2560" Type="http://schemas.openxmlformats.org/officeDocument/2006/relationships/hyperlink" Target="https://us.pandora.net/on/demandware.static/-/Sites-pandora-master-catalog/default/dwbb259ca6/productimages/singlepackshot/593338C01_RGB.png" TargetMode="External"/><Relationship Id="rId2798" Type="http://schemas.openxmlformats.org/officeDocument/2006/relationships/hyperlink" Target="https://us.pandora.net/on/demandware.static/-/Sites-pandora-master-catalog/default/dwbb259ca6/productimages/singlepackshot/762723C01_RGB.png" TargetMode="External"/><Relationship Id="rId3404" Type="http://schemas.openxmlformats.org/officeDocument/2006/relationships/hyperlink" Target="https://us.pandora.net/on/demandware.static/-/Sites-pandora-master-catalog/default/dwbb259ca6/productimages/singlepackshot/794247C01_RGB.png" TargetMode="External"/><Relationship Id="rId118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325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532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977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1162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2006" Type="http://schemas.openxmlformats.org/officeDocument/2006/relationships/hyperlink" Target="https://us.pandora.net/on/demandware.static/-/Sites-pandora-master-catalog/default/dwbb259ca6/productimages/singlepackshot/364016C00_RGB.png" TargetMode="External"/><Relationship Id="rId2213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420" Type="http://schemas.openxmlformats.org/officeDocument/2006/relationships/hyperlink" Target="https://us.pandora.net/on/demandware.static/-/Sites-pandora-master-catalog/default/dwbb259ca6/productimages/singlepackshot/590200_RGB.png" TargetMode="External"/><Relationship Id="rId2658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2865" Type="http://schemas.openxmlformats.org/officeDocument/2006/relationships/hyperlink" Target="https://us.pandora.net/on/demandware.static/-/Sites-pandora-master-catalog/default/dwbb259ca6/productimages/singlepackshot/763711C01_RGB.png" TargetMode="External"/><Relationship Id="rId837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022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467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1674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1881" Type="http://schemas.openxmlformats.org/officeDocument/2006/relationships/hyperlink" Target="https://us.pandora.net/on/demandware.static/-/Sites-pandora-master-catalog/default/dwbb259ca6/productimages/singlepackshot/290528CZ_RGB.png" TargetMode="External"/><Relationship Id="rId2518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725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2932" Type="http://schemas.openxmlformats.org/officeDocument/2006/relationships/hyperlink" Target="https://us.pandora.net/on/demandware.static/-/Sites-pandora-master-catalog/default/dwbb259ca6/productimages/singlepackshot/764087C00_RGB.png" TargetMode="External"/><Relationship Id="rId904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327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34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1741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1979" Type="http://schemas.openxmlformats.org/officeDocument/2006/relationships/hyperlink" Target="https://us.pandora.net/on/demandware.static/-/Sites-pandora-master-catalog/default/dwbb259ca6/productimages/singlepackshot/362234C00_RGB.png" TargetMode="External"/><Relationship Id="rId3194" Type="http://schemas.openxmlformats.org/officeDocument/2006/relationships/hyperlink" Target="https://us.pandora.net/on/demandware.static/-/Sites-pandora-master-catalog/default/dwbb259ca6/productimages/singlepackshot/793055C00_RGB.png" TargetMode="External"/><Relationship Id="rId33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1601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1839" Type="http://schemas.openxmlformats.org/officeDocument/2006/relationships/hyperlink" Target="https://us.pandora.net/on/demandware.static/-/Sites-pandora-master-catalog/default/dwbb259ca6/productimages/singlepackshot/263312C00_RGB.png" TargetMode="External"/><Relationship Id="rId3054" Type="http://schemas.openxmlformats.org/officeDocument/2006/relationships/hyperlink" Target="https://us.pandora.net/on/demandware.static/-/Sites-pandora-master-catalog/default/dwbb259ca6/productimages/singlepackshot/791242CZ_RGB.png" TargetMode="External"/><Relationship Id="rId3499" Type="http://schemas.openxmlformats.org/officeDocument/2006/relationships/hyperlink" Target="https://us.pandora.net/on/demandware.static/-/Sites-pandora-master-catalog/default/dwbb259ca6/productimages/singlepackshot/798848C01_RGB.png" TargetMode="External"/><Relationship Id="rId182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1906" Type="http://schemas.openxmlformats.org/officeDocument/2006/relationships/hyperlink" Target="https://us.pandora.net/on/demandware.static/-/Sites-pandora-master-catalog/default/dwbb259ca6/productimages/singlepackshot/292545C01_RGB.png" TargetMode="External"/><Relationship Id="rId3261" Type="http://schemas.openxmlformats.org/officeDocument/2006/relationships/hyperlink" Target="https://us.pandora.net/on/demandware.static/-/Sites-pandora-master-catalog/default/dwbb259ca6/productimages/singlepackshot/793449C00_RGB.png" TargetMode="External"/><Relationship Id="rId3359" Type="http://schemas.openxmlformats.org/officeDocument/2006/relationships/hyperlink" Target="https://us.pandora.net/on/demandware.static/-/Sites-pandora-master-catalog/default/dwbb259ca6/productimages/singlepackshot/793979C01_RGB.png" TargetMode="External"/><Relationship Id="rId487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694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2070" Type="http://schemas.openxmlformats.org/officeDocument/2006/relationships/hyperlink" Target="https://us.pandora.net/on/demandware.static/-/Sites-pandora-master-catalog/default/dwbb259ca6/productimages/singlepackshot/393560C01_RGB.png" TargetMode="External"/><Relationship Id="rId2168" Type="http://schemas.openxmlformats.org/officeDocument/2006/relationships/hyperlink" Target="https://us.pandora.net/on/demandware.static/-/Sites-pandora-master-catalog/default/dwbb259ca6/productimages/singlepackshot/563310C00_RGB.png" TargetMode="External"/><Relationship Id="rId2375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3121" Type="http://schemas.openxmlformats.org/officeDocument/2006/relationships/hyperlink" Target="https://us.pandora.net/on/demandware.static/-/Sites-pandora-master-catalog/default/dwbb259ca6/productimages/singlepackshot/792274C00_RGB.png" TargetMode="External"/><Relationship Id="rId3219" Type="http://schemas.openxmlformats.org/officeDocument/2006/relationships/hyperlink" Target="https://us.pandora.net/on/demandware.static/-/Sites-pandora-master-catalog/default/dwbb259ca6/productimages/singlepackshot/793201C02_RGB.png" TargetMode="External"/><Relationship Id="rId347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999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1184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2028" Type="http://schemas.openxmlformats.org/officeDocument/2006/relationships/hyperlink" Target="https://us.pandora.net/on/demandware.static/-/Sites-pandora-master-catalog/default/dwbb259ca6/productimages/singlepackshot/388425C01_RGB.png" TargetMode="External"/><Relationship Id="rId2582" Type="http://schemas.openxmlformats.org/officeDocument/2006/relationships/hyperlink" Target="https://us.pandora.net/on/demandware.static/-/Sites-pandora-master-catalog/default/dwbb259ca6/productimages/singlepackshot/593579C01_RGB.png" TargetMode="External"/><Relationship Id="rId2887" Type="http://schemas.openxmlformats.org/officeDocument/2006/relationships/hyperlink" Target="https://us.pandora.net/on/demandware.static/-/Sites-pandora-master-catalog/default/dwbb259ca6/productimages/singlepackshot/763948C00_RGB.png" TargetMode="External"/><Relationship Id="rId3426" Type="http://schemas.openxmlformats.org/officeDocument/2006/relationships/hyperlink" Target="https://us.pandora.net/on/demandware.static/-/Sites-pandora-master-catalog/default/dwbb259ca6/productimages/singlepackshot/797457_RGB.png" TargetMode="External"/><Relationship Id="rId554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761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859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1391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1489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1696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2235" Type="http://schemas.openxmlformats.org/officeDocument/2006/relationships/hyperlink" Target="https://us.pandora.net/on/demandware.static/-/Sites-pandora-master-catalog/default/dwbb259ca6/productimages/singlepackshot/563867C00_RGB.png" TargetMode="External"/><Relationship Id="rId2442" Type="http://schemas.openxmlformats.org/officeDocument/2006/relationships/hyperlink" Target="https://us.pandora.net/on/demandware.static/-/Sites-pandora-master-catalog/default/dwbb259ca6/productimages/singlepackshot/590719_RGB.png" TargetMode="External"/><Relationship Id="rId207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14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621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1044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251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1349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2302" Type="http://schemas.openxmlformats.org/officeDocument/2006/relationships/hyperlink" Target="https://us.pandora.net/on/demandware.static/-/Sites-pandora-master-catalog/default/dwbb259ca6/productimages/singlepackshot/569416C01_RGB.png" TargetMode="External"/><Relationship Id="rId2747" Type="http://schemas.openxmlformats.org/officeDocument/2006/relationships/hyperlink" Target="https://us.pandora.net/on/demandware.static/-/Sites-pandora-master-catalog/default/dwbb259ca6/productimages/singlepackshot/599588C00_RGB.png" TargetMode="External"/><Relationship Id="rId2954" Type="http://schemas.openxmlformats.org/officeDocument/2006/relationships/hyperlink" Target="https://us.pandora.net/on/demandware.static/-/Sites-pandora-master-catalog/default/dwbb259ca6/productimages/singlepackshot/768785C01_RGB.png" TargetMode="External"/><Relationship Id="rId719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926" Type="http://schemas.openxmlformats.org/officeDocument/2006/relationships/hyperlink" Target="https://us.pandora.net/on/demandware.static/-/Sites-pandora-master-catalog/default/dwbb259ca6/productimages/singlepackshot/190980_RGB.png" TargetMode="External"/><Relationship Id="rId1111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556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1763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1970" Type="http://schemas.openxmlformats.org/officeDocument/2006/relationships/hyperlink" Target="https://us.pandora.net/on/demandware.static/-/Sites-pandora-master-catalog/default/dwbb259ca6/productimages/singlepackshot/298427C01_RGB.png" TargetMode="External"/><Relationship Id="rId2607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2814" Type="http://schemas.openxmlformats.org/officeDocument/2006/relationships/hyperlink" Target="https://us.pandora.net/on/demandware.static/-/Sites-pandora-master-catalog/default/dwbb259ca6/productimages/singlepackshot/763234C01_RGB.png" TargetMode="External"/><Relationship Id="rId55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209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16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1623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1830" Type="http://schemas.openxmlformats.org/officeDocument/2006/relationships/hyperlink" Target="https://us.pandora.net/on/demandware.static/-/Sites-pandora-master-catalog/default/dwbb259ca6/productimages/singlepackshot/263281C01_RGB.png" TargetMode="External"/><Relationship Id="rId3076" Type="http://schemas.openxmlformats.org/officeDocument/2006/relationships/hyperlink" Target="https://us.pandora.net/on/demandware.static/-/Sites-pandora-master-catalog/default/dwbb259ca6/productimages/singlepackshot/791726PCZ_RGB.png" TargetMode="External"/><Relationship Id="rId3283" Type="http://schemas.openxmlformats.org/officeDocument/2006/relationships/hyperlink" Target="https://us.pandora.net/on/demandware.static/-/Sites-pandora-master-catalog/default/dwbb259ca6/productimages/singlepackshot/793594C01_RGB.png" TargetMode="External"/><Relationship Id="rId3490" Type="http://schemas.openxmlformats.org/officeDocument/2006/relationships/hyperlink" Target="https://us.pandora.net/on/demandware.static/-/Sites-pandora-master-catalog/default/dwbb259ca6/productimages/singlepackshot/798614C01_RGB.png" TargetMode="External"/><Relationship Id="rId1928" Type="http://schemas.openxmlformats.org/officeDocument/2006/relationships/hyperlink" Target="https://us.pandora.net/on/demandware.static/-/Sites-pandora-master-catalog/default/dwbb259ca6/productimages/singlepackshot/293178C01_RGB.png" TargetMode="External"/><Relationship Id="rId2092" Type="http://schemas.openxmlformats.org/officeDocument/2006/relationships/hyperlink" Target="https://us.pandora.net/on/demandware.static/-/Sites-pandora-master-catalog/default/dwbb259ca6/productimages/singlepackshot/394235C01_RGB.png" TargetMode="External"/><Relationship Id="rId3143" Type="http://schemas.openxmlformats.org/officeDocument/2006/relationships/hyperlink" Target="https://us.pandora.net/on/demandware.static/-/Sites-pandora-master-catalog/default/dwbb259ca6/productimages/singlepackshot/792630C01_RGB.png" TargetMode="External"/><Relationship Id="rId3350" Type="http://schemas.openxmlformats.org/officeDocument/2006/relationships/hyperlink" Target="https://us.pandora.net/on/demandware.static/-/Sites-pandora-master-catalog/default/dwbb259ca6/productimages/singlepackshot/793912C00_RGB.png" TargetMode="External"/><Relationship Id="rId271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2397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3003" Type="http://schemas.openxmlformats.org/officeDocument/2006/relationships/hyperlink" Target="https://us.pandora.net/on/demandware.static/-/Sites-pandora-master-catalog/default/dwbb259ca6/productimages/singlepackshot/788747C01_RGB.png" TargetMode="External"/><Relationship Id="rId3448" Type="http://schemas.openxmlformats.org/officeDocument/2006/relationships/hyperlink" Target="https://us.pandora.net/on/demandware.static/-/Sites-pandora-master-catalog/default/dwbb259ca6/productimages/singlepackshot/797479_RGB.png" TargetMode="External"/><Relationship Id="rId131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369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576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783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990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2257" Type="http://schemas.openxmlformats.org/officeDocument/2006/relationships/hyperlink" Target="https://us.pandora.net/on/demandware.static/-/Sites-pandora-master-catalog/default/dwbb259ca6/productimages/singlepackshot/564226C01_RGB.png" TargetMode="External"/><Relationship Id="rId2464" Type="http://schemas.openxmlformats.org/officeDocument/2006/relationships/hyperlink" Target="https://us.pandora.net/on/demandware.static/-/Sites-pandora-master-catalog/default/dwbb259ca6/productimages/singlepackshot/590745CBK_RGB.png" TargetMode="External"/><Relationship Id="rId2671" Type="http://schemas.openxmlformats.org/officeDocument/2006/relationships/hyperlink" Target="https://us.pandora.net/on/demandware.static/-/Sites-pandora-master-catalog/default/dwbb259ca6/productimages/singlepackshot/597770CZ_RGB.png" TargetMode="External"/><Relationship Id="rId3210" Type="http://schemas.openxmlformats.org/officeDocument/2006/relationships/hyperlink" Target="https://us.pandora.net/on/demandware.static/-/Sites-pandora-master-catalog/default/dwbb259ca6/productimages/singlepackshot/793125C03_RGB.png" TargetMode="External"/><Relationship Id="rId3308" Type="http://schemas.openxmlformats.org/officeDocument/2006/relationships/hyperlink" Target="https://us.pandora.net/on/demandware.static/-/Sites-pandora-master-catalog/default/dwbb259ca6/productimages/singlepackshot/793745C01_RGB.png" TargetMode="External"/><Relationship Id="rId3515" Type="http://schemas.openxmlformats.org/officeDocument/2006/relationships/hyperlink" Target="https://us.pandora.net/on/demandware.static/-/Sites-pandora-master-catalog/default/dwbb259ca6/productimages/singlepackshot/798962C01_RGB.png" TargetMode="External"/><Relationship Id="rId229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436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643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1066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1273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1480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2117" Type="http://schemas.openxmlformats.org/officeDocument/2006/relationships/hyperlink" Target="https://us.pandora.net/on/demandware.static/-/Sites-pandora-master-catalog/default/dwbb259ca6/productimages/singlepackshot/550702_RGB.png" TargetMode="External"/><Relationship Id="rId2324" Type="http://schemas.openxmlformats.org/officeDocument/2006/relationships/hyperlink" Target="https://us.pandora.net/on/demandware.static/-/Sites-pandora-master-catalog/default/dwbb259ca6/productimages/singlepackshot/580719_RGB.png" TargetMode="External"/><Relationship Id="rId2769" Type="http://schemas.openxmlformats.org/officeDocument/2006/relationships/hyperlink" Target="https://us.pandora.net/on/demandware.static/-/Sites-pandora-master-catalog/default/dwbb259ca6/productimages/singlepackshot/760667C01_RGB.png" TargetMode="External"/><Relationship Id="rId2976" Type="http://schemas.openxmlformats.org/officeDocument/2006/relationships/hyperlink" Target="https://us.pandora.net/on/demandware.static/-/Sites-pandora-master-catalog/default/dwbb259ca6/productimages/singlepackshot/781972CZ_RGB.png" TargetMode="External"/><Relationship Id="rId850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948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133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578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1785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1992" Type="http://schemas.openxmlformats.org/officeDocument/2006/relationships/hyperlink" Target="https://us.pandora.net/on/demandware.static/-/Sites-pandora-master-catalog/default/dwbb259ca6/productimages/singlepackshot/363297C01_RGB.png" TargetMode="External"/><Relationship Id="rId2531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629" Type="http://schemas.openxmlformats.org/officeDocument/2006/relationships/hyperlink" Target="https://us.pandora.net/on/demandware.static/-/Sites-pandora-master-catalog/default/dwbb259ca6/productimages/singlepackshot/593854C00_RGB.png" TargetMode="External"/><Relationship Id="rId2836" Type="http://schemas.openxmlformats.org/officeDocument/2006/relationships/hyperlink" Target="https://us.pandora.net/on/demandware.static/-/Sites-pandora-master-catalog/default/dwbb259ca6/productimages/singlepackshot/763442C01_RGB.png" TargetMode="External"/><Relationship Id="rId77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503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710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808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340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438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645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3098" Type="http://schemas.openxmlformats.org/officeDocument/2006/relationships/hyperlink" Target="https://us.pandora.net/on/demandware.static/-/Sites-pandora-master-catalog/default/dwbb259ca6/productimages/singlepackshot/792016CZ_E045_RGB.png" TargetMode="External"/><Relationship Id="rId1200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1852" Type="http://schemas.openxmlformats.org/officeDocument/2006/relationships/hyperlink" Target="https://us.pandora.net/on/demandware.static/-/Sites-pandora-master-catalog/default/dwbb259ca6/productimages/singlepackshot/263873C00_RGB.png" TargetMode="External"/><Relationship Id="rId2903" Type="http://schemas.openxmlformats.org/officeDocument/2006/relationships/hyperlink" Target="https://us.pandora.net/on/demandware.static/-/Sites-pandora-master-catalog/default/dwbb259ca6/productimages/singlepackshot/763964C00_RGB.png" TargetMode="External"/><Relationship Id="rId1505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1712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3165" Type="http://schemas.openxmlformats.org/officeDocument/2006/relationships/hyperlink" Target="https://us.pandora.net/on/demandware.static/-/Sites-pandora-master-catalog/default/dwbb259ca6/productimages/singlepackshot/792758C01_RGB.png" TargetMode="External"/><Relationship Id="rId3372" Type="http://schemas.openxmlformats.org/officeDocument/2006/relationships/hyperlink" Target="https://us.pandora.net/on/demandware.static/-/Sites-pandora-master-catalog/default/dwbb259ca6/productimages/singlepackshot/794050C00_RGB.png" TargetMode="External"/><Relationship Id="rId293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2181" Type="http://schemas.openxmlformats.org/officeDocument/2006/relationships/hyperlink" Target="https://us.pandora.net/on/demandware.static/-/Sites-pandora-master-catalog/default/dwbb259ca6/productimages/singlepackshot/563401C01_RGB.png" TargetMode="External"/><Relationship Id="rId3025" Type="http://schemas.openxmlformats.org/officeDocument/2006/relationships/hyperlink" Target="https://us.pandora.net/on/demandware.static/-/Sites-pandora-master-catalog/default/dwbb259ca6/productimages/singlepackshot/790065C02_RGB.png" TargetMode="External"/><Relationship Id="rId3232" Type="http://schemas.openxmlformats.org/officeDocument/2006/relationships/hyperlink" Target="https://us.pandora.net/on/demandware.static/-/Sites-pandora-master-catalog/default/dwbb259ca6/productimages/singlepackshot/793337C04_RGB.png" TargetMode="External"/><Relationship Id="rId153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360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598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2041" Type="http://schemas.openxmlformats.org/officeDocument/2006/relationships/hyperlink" Target="https://us.pandora.net/on/demandware.static/-/Sites-pandora-master-catalog/default/dwbb259ca6/productimages/singlepackshot/392542C01_RGB.png" TargetMode="External"/><Relationship Id="rId2279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2486" Type="http://schemas.openxmlformats.org/officeDocument/2006/relationships/hyperlink" Target="https://us.pandora.net/on/demandware.static/-/Sites-pandora-master-catalog/default/dwbb259ca6/productimages/singlepackshot/591469C02_RGB.png" TargetMode="External"/><Relationship Id="rId2693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3537" Type="http://schemas.openxmlformats.org/officeDocument/2006/relationships/hyperlink" Target="https://us.pandora.net/on/demandware.static/-/Sites-pandora-master-catalog/default/dwbb259ca6/productimages/singlepackshot/799383C01_RGB.png" TargetMode="External"/><Relationship Id="rId220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458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665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872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1088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1295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2139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2346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3" Type="http://schemas.openxmlformats.org/officeDocument/2006/relationships/hyperlink" Target="https://us.pandora.net/on/demandware.static/-/Sites-pandora-master-catalog/default/dwbb259ca6/productimages/singlepackshot/593172C01_RGB.png" TargetMode="External"/><Relationship Id="rId2760" Type="http://schemas.openxmlformats.org/officeDocument/2006/relationships/hyperlink" Target="https://us.pandora.net/on/demandware.static/-/Sites-pandora-master-catalog/default/dwbb259ca6/productimages/singlepackshot/599662C00_RGB.png" TargetMode="External"/><Relationship Id="rId2998" Type="http://schemas.openxmlformats.org/officeDocument/2006/relationships/hyperlink" Target="https://us.pandora.net/on/demandware.static/-/Sites-pandora-master-catalog/default/dwbb259ca6/productimages/singlepackshot/787516_RGB.png" TargetMode="External"/><Relationship Id="rId318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525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732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1155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362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2206" Type="http://schemas.openxmlformats.org/officeDocument/2006/relationships/hyperlink" Target="https://us.pandora.net/on/demandware.static/-/Sites-pandora-master-catalog/default/dwbb259ca6/productimages/singlepackshot/563689C00_RGB.png" TargetMode="External"/><Relationship Id="rId2413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620" Type="http://schemas.openxmlformats.org/officeDocument/2006/relationships/hyperlink" Target="https://us.pandora.net/on/demandware.static/-/Sites-pandora-master-catalog/default/dwbb259ca6/productimages/singlepackshot/593853C00_RGB.png" TargetMode="External"/><Relationship Id="rId2858" Type="http://schemas.openxmlformats.org/officeDocument/2006/relationships/hyperlink" Target="https://us.pandora.net/on/demandware.static/-/Sites-pandora-master-catalog/default/dwbb259ca6/productimages/singlepackshot/763624C01_RGB.png" TargetMode="External"/><Relationship Id="rId99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1015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222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667" Type="http://schemas.openxmlformats.org/officeDocument/2006/relationships/hyperlink" Target="https://us.pandora.net/on/demandware.static/-/Sites-pandora-master-catalog/default/dwbb259ca6/productimages/singlepackshot/197681_RGB.png" TargetMode="External"/><Relationship Id="rId1874" Type="http://schemas.openxmlformats.org/officeDocument/2006/relationships/hyperlink" Target="https://us.pandora.net/on/demandware.static/-/Sites-pandora-master-catalog/default/dwbb259ca6/productimages/singlepackshot/288427C01_RGB.png" TargetMode="External"/><Relationship Id="rId2718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2925" Type="http://schemas.openxmlformats.org/officeDocument/2006/relationships/hyperlink" Target="https://us.pandora.net/on/demandware.static/-/Sites-pandora-master-catalog/default/dwbb259ca6/productimages/singlepackshot/764052C00_RGB.png" TargetMode="External"/><Relationship Id="rId1527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1734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1941" Type="http://schemas.openxmlformats.org/officeDocument/2006/relationships/hyperlink" Target="https://us.pandora.net/on/demandware.static/-/Sites-pandora-master-catalog/default/dwbb259ca6/productimages/singlepackshot/293542C01_RGB.png" TargetMode="External"/><Relationship Id="rId3187" Type="http://schemas.openxmlformats.org/officeDocument/2006/relationships/hyperlink" Target="https://us.pandora.net/on/demandware.static/-/Sites-pandora-master-catalog/default/dwbb259ca6/productimages/singlepackshot/793041C01_RGB.png" TargetMode="External"/><Relationship Id="rId3394" Type="http://schemas.openxmlformats.org/officeDocument/2006/relationships/hyperlink" Target="https://us.pandora.net/on/demandware.static/-/Sites-pandora-master-catalog/default/dwbb259ca6/productimages/singlepackshot/794218C01_RGB.png" TargetMode="External"/><Relationship Id="rId26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3047" Type="http://schemas.openxmlformats.org/officeDocument/2006/relationships/hyperlink" Target="https://us.pandora.net/on/demandware.static/-/Sites-pandora-master-catalog/default/dwbb259ca6/productimages/singlepackshot/790964_RGB.png" TargetMode="External"/><Relationship Id="rId175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1801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254" Type="http://schemas.openxmlformats.org/officeDocument/2006/relationships/hyperlink" Target="https://us.pandora.net/on/demandware.static/-/Sites-pandora-master-catalog/default/dwbb259ca6/productimages/singlepackshot/793423C01_RGB.png" TargetMode="External"/><Relationship Id="rId3461" Type="http://schemas.openxmlformats.org/officeDocument/2006/relationships/hyperlink" Target="https://us.pandora.net/on/demandware.static/-/Sites-pandora-master-catalog/default/dwbb259ca6/productimages/singlepackshot/798016EN160_RGB.png" TargetMode="External"/><Relationship Id="rId382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687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2063" Type="http://schemas.openxmlformats.org/officeDocument/2006/relationships/hyperlink" Target="https://us.pandora.net/on/demandware.static/-/Sites-pandora-master-catalog/default/dwbb259ca6/productimages/singlepackshot/393334C00_RGB.png" TargetMode="External"/><Relationship Id="rId2270" Type="http://schemas.openxmlformats.org/officeDocument/2006/relationships/hyperlink" Target="https://us.pandora.net/on/demandware.static/-/Sites-pandora-master-catalog/default/dwbb259ca6/productimages/singlepackshot/568342C01_RGB.png" TargetMode="External"/><Relationship Id="rId2368" Type="http://schemas.openxmlformats.org/officeDocument/2006/relationships/hyperlink" Target="https://us.pandora.net/on/demandware.static/-/Sites-pandora-master-catalog/default/dwbb259ca6/productimages/singlepackshot/588342CZ_RGB.png" TargetMode="External"/><Relationship Id="rId3114" Type="http://schemas.openxmlformats.org/officeDocument/2006/relationships/hyperlink" Target="https://us.pandora.net/on/demandware.static/-/Sites-pandora-master-catalog/default/dwbb259ca6/productimages/singlepackshot/792214C01_RGB.png" TargetMode="External"/><Relationship Id="rId3321" Type="http://schemas.openxmlformats.org/officeDocument/2006/relationships/hyperlink" Target="https://us.pandora.net/on/demandware.static/-/Sites-pandora-master-catalog/default/dwbb259ca6/productimages/singlepackshot/793781C01_RGB.png" TargetMode="External"/><Relationship Id="rId242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894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1177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2130" Type="http://schemas.openxmlformats.org/officeDocument/2006/relationships/hyperlink" Target="https://us.pandora.net/on/demandware.static/-/Sites-pandora-master-catalog/default/dwbb259ca6/productimages/singlepackshot/561469C01_RGB.png" TargetMode="External"/><Relationship Id="rId2575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2782" Type="http://schemas.openxmlformats.org/officeDocument/2006/relationships/hyperlink" Target="https://us.pandora.net/on/demandware.static/-/Sites-pandora-master-catalog/default/dwbb259ca6/productimages/singlepackshot/762672C01_RGB.png" TargetMode="External"/><Relationship Id="rId3419" Type="http://schemas.openxmlformats.org/officeDocument/2006/relationships/hyperlink" Target="https://us.pandora.net/on/demandware.static/-/Sites-pandora-master-catalog/default/dwbb259ca6/productimages/singlepackshot/797185EN160_RGB.png" TargetMode="External"/><Relationship Id="rId102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547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754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961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384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1591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1689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2228" Type="http://schemas.openxmlformats.org/officeDocument/2006/relationships/hyperlink" Target="https://us.pandora.net/on/demandware.static/-/Sites-pandora-master-catalog/default/dwbb259ca6/productimages/singlepackshot/563830C01_RGB.png" TargetMode="External"/><Relationship Id="rId2435" Type="http://schemas.openxmlformats.org/officeDocument/2006/relationships/hyperlink" Target="https://us.pandora.net/on/demandware.static/-/Sites-pandora-master-catalog/default/dwbb259ca6/productimages/singlepackshot/590713_RGB.png" TargetMode="External"/><Relationship Id="rId2642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90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407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614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821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1037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244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451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896" Type="http://schemas.openxmlformats.org/officeDocument/2006/relationships/hyperlink" Target="https://us.pandora.net/on/demandware.static/-/Sites-pandora-master-catalog/default/dwbb259ca6/productimages/singlepackshot/292334C04_RGB.png" TargetMode="External"/><Relationship Id="rId2502" Type="http://schemas.openxmlformats.org/officeDocument/2006/relationships/hyperlink" Target="https://us.pandora.net/on/demandware.static/-/Sites-pandora-master-catalog/default/dwbb259ca6/productimages/singlepackshot/592324C01_RGB.png" TargetMode="External"/><Relationship Id="rId2947" Type="http://schemas.openxmlformats.org/officeDocument/2006/relationships/hyperlink" Target="https://us.pandora.net/on/demandware.static/-/Sites-pandora-master-catalog/default/dwbb259ca6/productimages/singlepackshot/768009C01_RGB.png" TargetMode="External"/><Relationship Id="rId919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104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311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549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1756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1963" Type="http://schemas.openxmlformats.org/officeDocument/2006/relationships/hyperlink" Target="https://us.pandora.net/on/demandware.static/-/Sites-pandora-master-catalog/default/dwbb259ca6/productimages/singlepackshot/294263C01_RGB.png" TargetMode="External"/><Relationship Id="rId2807" Type="http://schemas.openxmlformats.org/officeDocument/2006/relationships/hyperlink" Target="https://us.pandora.net/on/demandware.static/-/Sites-pandora-master-catalog/default/dwbb259ca6/productimages/singlepackshot/763034C01_RGB.png" TargetMode="External"/><Relationship Id="rId48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409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1616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1823" Type="http://schemas.openxmlformats.org/officeDocument/2006/relationships/hyperlink" Target="https://us.pandora.net/on/demandware.static/-/Sites-pandora-master-catalog/default/dwbb259ca6/productimages/singlepackshot/263179C01_RGB.png" TargetMode="External"/><Relationship Id="rId3069" Type="http://schemas.openxmlformats.org/officeDocument/2006/relationships/hyperlink" Target="https://us.pandora.net/on/demandware.static/-/Sites-pandora-master-catalog/default/dwbb259ca6/productimages/singlepackshot/791691C02_RGB.png" TargetMode="External"/><Relationship Id="rId3276" Type="http://schemas.openxmlformats.org/officeDocument/2006/relationships/hyperlink" Target="https://us.pandora.net/on/demandware.static/-/Sites-pandora-master-catalog/default/dwbb259ca6/productimages/singlepackshot/793565C01_RGB.png" TargetMode="External"/><Relationship Id="rId3483" Type="http://schemas.openxmlformats.org/officeDocument/2006/relationships/hyperlink" Target="https://us.pandora.net/on/demandware.static/-/Sites-pandora-master-catalog/default/dwbb259ca6/productimages/singlepackshot/798426C01_RGB.png" TargetMode="External"/><Relationship Id="rId197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2085" Type="http://schemas.openxmlformats.org/officeDocument/2006/relationships/hyperlink" Target="https://us.pandora.net/on/demandware.static/-/Sites-pandora-master-catalog/default/dwbb259ca6/productimages/singlepackshot/394009C01_RGB.png" TargetMode="External"/><Relationship Id="rId2292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3136" Type="http://schemas.openxmlformats.org/officeDocument/2006/relationships/hyperlink" Target="https://us.pandora.net/on/demandware.static/-/Sites-pandora-master-catalog/default/dwbb259ca6/productimages/singlepackshot/792552C01_RGB.png" TargetMode="External"/><Relationship Id="rId3343" Type="http://schemas.openxmlformats.org/officeDocument/2006/relationships/hyperlink" Target="https://us.pandora.net/on/demandware.static/-/Sites-pandora-master-catalog/default/dwbb259ca6/productimages/singlepackshot/793901C01_RGB.png" TargetMode="External"/><Relationship Id="rId264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471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2152" Type="http://schemas.openxmlformats.org/officeDocument/2006/relationships/hyperlink" Target="https://us.pandora.net/on/demandware.static/-/Sites-pandora-master-catalog/default/dwbb259ca6/productimages/singlepackshot/563008C01_RGB.png" TargetMode="External"/><Relationship Id="rId2597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3550" Type="http://schemas.openxmlformats.org/officeDocument/2006/relationships/hyperlink" Target="https://us.pandora.net/on/demandware.static/-/Sites-pandora-master-catalog/default/dwbb259ca6/productimages/singlepackshot/799546C01_RGB.png" TargetMode="External"/><Relationship Id="rId124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569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776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983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1199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457" Type="http://schemas.openxmlformats.org/officeDocument/2006/relationships/hyperlink" Target="https://us.pandora.net/on/demandware.static/-/Sites-pandora-master-catalog/default/dwbb259ca6/productimages/singlepackshot/590728_RGB.png" TargetMode="External"/><Relationship Id="rId2664" Type="http://schemas.openxmlformats.org/officeDocument/2006/relationships/hyperlink" Target="https://us.pandora.net/on/demandware.static/-/Sites-pandora-master-catalog/default/dwbb259ca6/productimages/singlepackshot/596268_RGB.png" TargetMode="External"/><Relationship Id="rId3203" Type="http://schemas.openxmlformats.org/officeDocument/2006/relationships/hyperlink" Target="https://us.pandora.net/on/demandware.static/-/Sites-pandora-master-catalog/default/dwbb259ca6/productimages/singlepackshot/793107C00_RGB.png" TargetMode="External"/><Relationship Id="rId3410" Type="http://schemas.openxmlformats.org/officeDocument/2006/relationships/hyperlink" Target="https://us.pandora.net/on/demandware.static/-/Sites-pandora-master-catalog/default/dwbb259ca6/productimages/singlepackshot/794254C01_RGB.png" TargetMode="External"/><Relationship Id="rId3508" Type="http://schemas.openxmlformats.org/officeDocument/2006/relationships/hyperlink" Target="https://us.pandora.net/on/demandware.static/-/Sites-pandora-master-catalog/default/dwbb259ca6/productimages/singlepackshot/798905C01_RGB.png" TargetMode="External"/><Relationship Id="rId331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429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636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1059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1266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1473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2012" Type="http://schemas.openxmlformats.org/officeDocument/2006/relationships/hyperlink" Target="https://us.pandora.net/on/demandware.static/-/Sites-pandora-master-catalog/default/dwbb259ca6/productimages/singlepackshot/368610C00_RGB.png" TargetMode="External"/><Relationship Id="rId2317" Type="http://schemas.openxmlformats.org/officeDocument/2006/relationships/hyperlink" Target="https://us.pandora.net/on/demandware.static/-/Sites-pandora-master-catalog/default/dwbb259ca6/productimages/singlepackshot/569662C00_RGB.png" TargetMode="External"/><Relationship Id="rId2871" Type="http://schemas.openxmlformats.org/officeDocument/2006/relationships/hyperlink" Target="https://us.pandora.net/on/demandware.static/-/Sites-pandora-master-catalog/default/dwbb259ca6/productimages/singlepackshot/763787C01_RGB.png" TargetMode="External"/><Relationship Id="rId2969" Type="http://schemas.openxmlformats.org/officeDocument/2006/relationships/hyperlink" Target="https://us.pandora.net/on/demandware.static/-/Sites-pandora-master-catalog/default/dwbb259ca6/productimages/singlepackshot/781142C01_RGB.png" TargetMode="External"/><Relationship Id="rId843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126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680" Type="http://schemas.openxmlformats.org/officeDocument/2006/relationships/hyperlink" Target="https://us.pandora.net/on/demandware.static/-/Sites-pandora-master-catalog/default/dwbb259ca6/productimages/singlepackshot/198018_RGB.png" TargetMode="External"/><Relationship Id="rId1778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1985" Type="http://schemas.openxmlformats.org/officeDocument/2006/relationships/hyperlink" Target="https://us.pandora.net/on/demandware.static/-/Sites-pandora-master-catalog/default/dwbb259ca6/productimages/singlepackshot/362666C01_RGB.png" TargetMode="External"/><Relationship Id="rId2524" Type="http://schemas.openxmlformats.org/officeDocument/2006/relationships/hyperlink" Target="https://us.pandora.net/on/demandware.static/-/Sites-pandora-master-catalog/default/dwbb259ca6/productimages/singlepackshot/592790C01_RGB.png" TargetMode="External"/><Relationship Id="rId2731" Type="http://schemas.openxmlformats.org/officeDocument/2006/relationships/hyperlink" Target="https://us.pandora.net/on/demandware.static/-/Sites-pandora-master-catalog/default/dwbb259ca6/productimages/singlepackshot/599416C01_RGB.png" TargetMode="External"/><Relationship Id="rId2829" Type="http://schemas.openxmlformats.org/officeDocument/2006/relationships/hyperlink" Target="https://us.pandora.net/on/demandware.static/-/Sites-pandora-master-catalog/default/dwbb259ca6/productimages/singlepackshot/763405C01_RGB.png" TargetMode="External"/><Relationship Id="rId703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910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333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40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1638" Type="http://schemas.openxmlformats.org/officeDocument/2006/relationships/hyperlink" Target="https://us.pandora.net/on/demandware.static/-/Sites-pandora-master-catalog/default/dwbb259ca6/productimages/singlepackshot/196314_RGB.png" TargetMode="External"/><Relationship Id="rId1400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845" Type="http://schemas.openxmlformats.org/officeDocument/2006/relationships/hyperlink" Target="https://us.pandora.net/on/demandware.static/-/Sites-pandora-master-catalog/default/dwbb259ca6/productimages/singlepackshot/263820C01_RGB.png" TargetMode="External"/><Relationship Id="rId3060" Type="http://schemas.openxmlformats.org/officeDocument/2006/relationships/hyperlink" Target="https://us.pandora.net/on/demandware.static/-/Sites-pandora-master-catalog/default/dwbb259ca6/productimages/singlepackshot/791501C01_RGB.png" TargetMode="External"/><Relationship Id="rId3298" Type="http://schemas.openxmlformats.org/officeDocument/2006/relationships/hyperlink" Target="https://us.pandora.net/on/demandware.static/-/Sites-pandora-master-catalog/default/dwbb259ca6/productimages/singlepackshot/793673C01_RGB.png" TargetMode="External"/><Relationship Id="rId1705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1912" Type="http://schemas.openxmlformats.org/officeDocument/2006/relationships/hyperlink" Target="https://us.pandora.net/on/demandware.static/-/Sites-pandora-master-catalog/default/dwbb259ca6/productimages/singlepackshot/292796C01_RGB.png" TargetMode="External"/><Relationship Id="rId3158" Type="http://schemas.openxmlformats.org/officeDocument/2006/relationships/hyperlink" Target="https://us.pandora.net/on/demandware.static/-/Sites-pandora-master-catalog/default/dwbb259ca6/productimages/singlepackshot/792709C01_RGB.png" TargetMode="External"/><Relationship Id="rId3365" Type="http://schemas.openxmlformats.org/officeDocument/2006/relationships/hyperlink" Target="https://us.pandora.net/on/demandware.static/-/Sites-pandora-master-catalog/default/dwbb259ca6/productimages/singlepackshot/794022C01_RGB.png" TargetMode="External"/><Relationship Id="rId286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493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2174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2381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3018" Type="http://schemas.openxmlformats.org/officeDocument/2006/relationships/hyperlink" Target="https://us.pandora.net/on/demandware.static/-/Sites-pandora-master-catalog/default/dwbb259ca6/productimages/singlepackshot/789435C01_RGB.png" TargetMode="External"/><Relationship Id="rId3225" Type="http://schemas.openxmlformats.org/officeDocument/2006/relationships/hyperlink" Target="https://us.pandora.net/on/demandware.static/-/Sites-pandora-master-catalog/default/dwbb259ca6/productimages/singlepackshot/793243C00_RGB.png" TargetMode="External"/><Relationship Id="rId3432" Type="http://schemas.openxmlformats.org/officeDocument/2006/relationships/hyperlink" Target="https://us.pandora.net/on/demandware.static/-/Sites-pandora-master-catalog/default/dwbb259ca6/productimages/singlepackshot/797463_RGB.png" TargetMode="External"/><Relationship Id="rId146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353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60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798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1190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34" Type="http://schemas.openxmlformats.org/officeDocument/2006/relationships/hyperlink" Target="https://us.pandora.net/on/demandware.static/-/Sites-pandora-master-catalog/default/dwbb259ca6/productimages/singlepackshot/391174C01_RGB.png" TargetMode="External"/><Relationship Id="rId2241" Type="http://schemas.openxmlformats.org/officeDocument/2006/relationships/hyperlink" Target="https://us.pandora.net/on/demandware.static/-/Sites-pandora-master-catalog/default/dwbb259ca6/productimages/singlepackshot/564010C01_RGB.png" TargetMode="External"/><Relationship Id="rId2479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2686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2893" Type="http://schemas.openxmlformats.org/officeDocument/2006/relationships/hyperlink" Target="https://us.pandora.net/on/demandware.static/-/Sites-pandora-master-catalog/default/dwbb259ca6/productimages/singlepackshot/763954C00_RGB.png" TargetMode="External"/><Relationship Id="rId213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420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658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865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050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288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1495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2101" Type="http://schemas.openxmlformats.org/officeDocument/2006/relationships/hyperlink" Target="https://us.pandora.net/on/demandware.static/-/Sites-pandora-master-catalog/default/dwbb259ca6/productimages/singlepackshot/398425C01_RGB.png" TargetMode="External"/><Relationship Id="rId2339" Type="http://schemas.openxmlformats.org/officeDocument/2006/relationships/hyperlink" Target="https://us.pandora.net/on/demandware.static/-/Sites-pandora-master-catalog/default/dwbb259ca6/productimages/singlepackshot/581469C01_RGB.png" TargetMode="External"/><Relationship Id="rId2546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2753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2960" Type="http://schemas.openxmlformats.org/officeDocument/2006/relationships/hyperlink" Target="https://us.pandora.net/on/demandware.static/-/Sites-pandora-master-catalog/default/dwbb259ca6/productimages/singlepackshot/769271C01_RGB.png" TargetMode="External"/><Relationship Id="rId518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725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932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148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55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1562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2406" Type="http://schemas.openxmlformats.org/officeDocument/2006/relationships/hyperlink" Target="https://us.pandora.net/on/demandware.static/-/Sites-pandora-master-catalog/default/dwbb259ca6/productimages/singlepackshot/590041C02_RGB.png" TargetMode="External"/><Relationship Id="rId2613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1008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215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422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867" Type="http://schemas.openxmlformats.org/officeDocument/2006/relationships/hyperlink" Target="https://us.pandora.net/on/demandware.static/-/Sites-pandora-master-catalog/default/dwbb259ca6/productimages/singlepackshot/280090C01_RGB.png" TargetMode="External"/><Relationship Id="rId2820" Type="http://schemas.openxmlformats.org/officeDocument/2006/relationships/hyperlink" Target="https://us.pandora.net/on/demandware.static/-/Sites-pandora-master-catalog/default/dwbb259ca6/productimages/singlepackshot/763354C01_RGB.png" TargetMode="External"/><Relationship Id="rId2918" Type="http://schemas.openxmlformats.org/officeDocument/2006/relationships/hyperlink" Target="https://us.pandora.net/on/demandware.static/-/Sites-pandora-master-catalog/default/dwbb259ca6/productimages/singlepackshot/764023C01_RGB.png" TargetMode="External"/><Relationship Id="rId61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727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1934" Type="http://schemas.openxmlformats.org/officeDocument/2006/relationships/hyperlink" Target="https://us.pandora.net/on/demandware.static/-/Sites-pandora-master-catalog/default/dwbb259ca6/productimages/singlepackshot/293299C00_RGB.png" TargetMode="External"/><Relationship Id="rId3082" Type="http://schemas.openxmlformats.org/officeDocument/2006/relationships/hyperlink" Target="https://us.pandora.net/on/demandware.static/-/Sites-pandora-master-catalog/default/dwbb259ca6/productimages/singlepackshot/791817MCZ_RGB.png" TargetMode="External"/><Relationship Id="rId3387" Type="http://schemas.openxmlformats.org/officeDocument/2006/relationships/hyperlink" Target="https://us.pandora.net/on/demandware.static/-/Sites-pandora-master-catalog/default/dwbb259ca6/productimages/singlepackshot/794161C03_RGB.png" TargetMode="External"/><Relationship Id="rId19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2196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168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3247" Type="http://schemas.openxmlformats.org/officeDocument/2006/relationships/hyperlink" Target="https://us.pandora.net/on/demandware.static/-/Sites-pandora-master-catalog/default/dwbb259ca6/productimages/singlepackshot/793367C01_RGB.png" TargetMode="External"/><Relationship Id="rId3454" Type="http://schemas.openxmlformats.org/officeDocument/2006/relationships/hyperlink" Target="https://us.pandora.net/on/demandware.static/-/Sites-pandora-master-catalog/default/dwbb259ca6/productimages/singlepackshot/797863ENMX_RGB.png" TargetMode="External"/><Relationship Id="rId375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582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2056" Type="http://schemas.openxmlformats.org/officeDocument/2006/relationships/hyperlink" Target="https://us.pandora.net/on/demandware.static/-/Sites-pandora-master-catalog/default/dwbb259ca6/productimages/singlepackshot/393165C01_RGB.png" TargetMode="External"/><Relationship Id="rId2263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2470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3107" Type="http://schemas.openxmlformats.org/officeDocument/2006/relationships/hyperlink" Target="https://us.pandora.net/on/demandware.static/-/Sites-pandora-master-catalog/default/dwbb259ca6/productimages/singlepackshot/792089CZ_RGB.png" TargetMode="External"/><Relationship Id="rId3314" Type="http://schemas.openxmlformats.org/officeDocument/2006/relationships/hyperlink" Target="https://us.pandora.net/on/demandware.static/-/Sites-pandora-master-catalog/default/dwbb259ca6/productimages/singlepackshot/793755C00_RGB.png" TargetMode="External"/><Relationship Id="rId3521" Type="http://schemas.openxmlformats.org/officeDocument/2006/relationships/hyperlink" Target="https://us.pandora.net/on/demandware.static/-/Sites-pandora-master-catalog/default/dwbb259ca6/productimages/singlepackshot/799149C00_RGB.png" TargetMode="External"/><Relationship Id="rId3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35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442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887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1072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2123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330" Type="http://schemas.openxmlformats.org/officeDocument/2006/relationships/hyperlink" Target="https://us.pandora.net/on/demandware.static/-/Sites-pandora-master-catalog/default/dwbb259ca6/productimages/singlepackshot/580728_RGB.png" TargetMode="External"/><Relationship Id="rId2568" Type="http://schemas.openxmlformats.org/officeDocument/2006/relationships/hyperlink" Target="https://us.pandora.net/on/demandware.static/-/Sites-pandora-master-catalog/default/dwbb259ca6/productimages/singlepackshot/593363C00_RGB.png" TargetMode="External"/><Relationship Id="rId2775" Type="http://schemas.openxmlformats.org/officeDocument/2006/relationships/hyperlink" Target="https://us.pandora.net/on/demandware.static/-/Sites-pandora-master-catalog/default/dwbb259ca6/productimages/singlepackshot/762201C01_RGB.png" TargetMode="External"/><Relationship Id="rId2982" Type="http://schemas.openxmlformats.org/officeDocument/2006/relationships/hyperlink" Target="https://us.pandora.net/on/demandware.static/-/Sites-pandora-master-catalog/default/dwbb259ca6/productimages/singlepackshot/782506C01_RGB.png" TargetMode="External"/><Relationship Id="rId302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747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954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377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1584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1791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2428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2635" Type="http://schemas.openxmlformats.org/officeDocument/2006/relationships/hyperlink" Target="https://us.pandora.net/on/demandware.static/-/Sites-pandora-master-catalog/default/dwbb259ca6/productimages/singlepackshot/594010C01_RGB.png" TargetMode="External"/><Relationship Id="rId2842" Type="http://schemas.openxmlformats.org/officeDocument/2006/relationships/hyperlink" Target="https://us.pandora.net/on/demandware.static/-/Sites-pandora-master-catalog/default/dwbb259ca6/productimages/singlepackshot/763462C09_RGB.png" TargetMode="External"/><Relationship Id="rId83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607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814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237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444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651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889" Type="http://schemas.openxmlformats.org/officeDocument/2006/relationships/hyperlink" Target="https://us.pandora.net/on/demandware.static/-/Sites-pandora-master-catalog/default/dwbb259ca6/productimages/singlepackshot/291156C01_RGB.png" TargetMode="External"/><Relationship Id="rId2702" Type="http://schemas.openxmlformats.org/officeDocument/2006/relationships/hyperlink" Target="https://us.pandora.net/on/demandware.static/-/Sites-pandora-master-catalog/default/dwbb259ca6/productimages/singlepackshot/599190C01_RGB.png" TargetMode="External"/><Relationship Id="rId1304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1511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749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1956" Type="http://schemas.openxmlformats.org/officeDocument/2006/relationships/hyperlink" Target="https://us.pandora.net/on/demandware.static/-/Sites-pandora-master-catalog/default/dwbb259ca6/productimages/singlepackshot/293849C01_RGB.png" TargetMode="External"/><Relationship Id="rId3171" Type="http://schemas.openxmlformats.org/officeDocument/2006/relationships/hyperlink" Target="https://us.pandora.net/on/demandware.static/-/Sites-pandora-master-catalog/default/dwbb259ca6/productimages/singlepackshot/792822C01_RGB.png" TargetMode="External"/><Relationship Id="rId1609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1816" Type="http://schemas.openxmlformats.org/officeDocument/2006/relationships/hyperlink" Target="https://us.pandora.net/on/demandware.static/-/Sites-pandora-master-catalog/default/dwbb259ca6/productimages/singlepackshot/263002C01_RGB.png" TargetMode="External"/><Relationship Id="rId3269" Type="http://schemas.openxmlformats.org/officeDocument/2006/relationships/hyperlink" Target="https://us.pandora.net/on/demandware.static/-/Sites-pandora-master-catalog/default/dwbb259ca6/productimages/singlepackshot/793531C01_RGB.png" TargetMode="External"/><Relationship Id="rId3476" Type="http://schemas.openxmlformats.org/officeDocument/2006/relationships/hyperlink" Target="https://us.pandora.net/on/demandware.static/-/Sites-pandora-master-catalog/default/dwbb259ca6/productimages/singlepackshot/798416C01_RGB.png" TargetMode="External"/><Relationship Id="rId10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397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2078" Type="http://schemas.openxmlformats.org/officeDocument/2006/relationships/hyperlink" Target="https://us.pandora.net/on/demandware.static/-/Sites-pandora-master-catalog/default/dwbb259ca6/productimages/singlepackshot/393743C01_RGB.png" TargetMode="External"/><Relationship Id="rId2285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2492" Type="http://schemas.openxmlformats.org/officeDocument/2006/relationships/hyperlink" Target="https://us.pandora.net/on/demandware.static/-/Sites-pandora-master-catalog/default/dwbb259ca6/productimages/singlepackshot/591469C04_RGB.png" TargetMode="External"/><Relationship Id="rId3031" Type="http://schemas.openxmlformats.org/officeDocument/2006/relationships/hyperlink" Target="https://us.pandora.net/on/demandware.static/-/Sites-pandora-master-catalog/default/dwbb259ca6/productimages/singlepackshot/790086C00_RGB.png" TargetMode="External"/><Relationship Id="rId3129" Type="http://schemas.openxmlformats.org/officeDocument/2006/relationships/hyperlink" Target="https://us.pandora.net/on/demandware.static/-/Sites-pandora-master-catalog/default/dwbb259ca6/productimages/singlepackshot/792366C01_RGB.png" TargetMode="External"/><Relationship Id="rId3336" Type="http://schemas.openxmlformats.org/officeDocument/2006/relationships/hyperlink" Target="https://us.pandora.net/on/demandware.static/-/Sites-pandora-master-catalog/default/dwbb259ca6/productimages/singlepackshot/793860C01_RGB.png" TargetMode="External"/><Relationship Id="rId257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464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1094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2145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2797" Type="http://schemas.openxmlformats.org/officeDocument/2006/relationships/hyperlink" Target="https://us.pandora.net/on/demandware.static/-/Sites-pandora-master-catalog/default/dwbb259ca6/productimages/singlepackshot/762722C00_RGB.png" TargetMode="External"/><Relationship Id="rId3543" Type="http://schemas.openxmlformats.org/officeDocument/2006/relationships/hyperlink" Target="https://us.pandora.net/on/demandware.static/-/Sites-pandora-master-catalog/default/dwbb259ca6/productimages/singlepackshot/799435C01_RGB.png" TargetMode="External"/><Relationship Id="rId117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671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769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976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1399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352" Type="http://schemas.openxmlformats.org/officeDocument/2006/relationships/hyperlink" Target="https://us.pandora.net/on/demandware.static/-/Sites-pandora-master-catalog/default/dwbb259ca6/productimages/singlepackshot/582731C00_RGB.png" TargetMode="External"/><Relationship Id="rId2657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3403" Type="http://schemas.openxmlformats.org/officeDocument/2006/relationships/hyperlink" Target="https://us.pandora.net/on/demandware.static/-/Sites-pandora-master-catalog/default/dwbb259ca6/productimages/singlepackshot/794246C01_RGB.png" TargetMode="External"/><Relationship Id="rId324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531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629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1161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259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1466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2005" Type="http://schemas.openxmlformats.org/officeDocument/2006/relationships/hyperlink" Target="https://us.pandora.net/on/demandware.static/-/Sites-pandora-master-catalog/default/dwbb259ca6/productimages/singlepackshot/364015C00_RGB.png" TargetMode="External"/><Relationship Id="rId2212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864" Type="http://schemas.openxmlformats.org/officeDocument/2006/relationships/hyperlink" Target="https://us.pandora.net/on/demandware.static/-/Sites-pandora-master-catalog/default/dwbb259ca6/productimages/singlepackshot/763709C01_RGB.png" TargetMode="External"/><Relationship Id="rId836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021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119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1673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1880" Type="http://schemas.openxmlformats.org/officeDocument/2006/relationships/hyperlink" Target="https://us.pandora.net/on/demandware.static/-/Sites-pandora-master-catalog/default/dwbb259ca6/productimages/singlepackshot/290058C01_RGB.png" TargetMode="External"/><Relationship Id="rId1978" Type="http://schemas.openxmlformats.org/officeDocument/2006/relationships/hyperlink" Target="https://us.pandora.net/on/demandware.static/-/Sites-pandora-master-catalog/default/dwbb259ca6/productimages/singlepackshot/361174C01_RGB.png" TargetMode="External"/><Relationship Id="rId2517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724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2931" Type="http://schemas.openxmlformats.org/officeDocument/2006/relationships/hyperlink" Target="https://us.pandora.net/on/demandware.static/-/Sites-pandora-master-catalog/default/dwbb259ca6/productimages/singlepackshot/764084C01_RGB.png" TargetMode="External"/><Relationship Id="rId903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326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533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1740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3193" Type="http://schemas.openxmlformats.org/officeDocument/2006/relationships/hyperlink" Target="https://us.pandora.net/on/demandware.static/-/Sites-pandora-master-catalog/default/dwbb259ca6/productimages/singlepackshot/793048C00_RGB.png" TargetMode="External"/><Relationship Id="rId32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1600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1838" Type="http://schemas.openxmlformats.org/officeDocument/2006/relationships/hyperlink" Target="https://us.pandora.net/on/demandware.static/-/Sites-pandora-master-catalog/default/dwbb259ca6/productimages/singlepackshot/263309C01_RGB.png" TargetMode="External"/><Relationship Id="rId3053" Type="http://schemas.openxmlformats.org/officeDocument/2006/relationships/hyperlink" Target="https://us.pandora.net/on/demandware.static/-/Sites-pandora-master-catalog/default/dwbb259ca6/productimages/singlepackshot/791155C01_RGB.png" TargetMode="External"/><Relationship Id="rId3260" Type="http://schemas.openxmlformats.org/officeDocument/2006/relationships/hyperlink" Target="https://us.pandora.net/on/demandware.static/-/Sites-pandora-master-catalog/default/dwbb259ca6/productimages/singlepackshot/793448C01_RGB.png" TargetMode="External"/><Relationship Id="rId3498" Type="http://schemas.openxmlformats.org/officeDocument/2006/relationships/hyperlink" Target="https://us.pandora.net/on/demandware.static/-/Sites-pandora-master-catalog/default/dwbb259ca6/productimages/singlepackshot/798844C01_RGB.png" TargetMode="External"/><Relationship Id="rId181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1905" Type="http://schemas.openxmlformats.org/officeDocument/2006/relationships/hyperlink" Target="https://us.pandora.net/on/demandware.static/-/Sites-pandora-master-catalog/default/dwbb259ca6/productimages/singlepackshot/292407C01_RGB.png" TargetMode="External"/><Relationship Id="rId3120" Type="http://schemas.openxmlformats.org/officeDocument/2006/relationships/hyperlink" Target="https://us.pandora.net/on/demandware.static/-/Sites-pandora-master-catalog/default/dwbb259ca6/productimages/singlepackshot/792255C01_RGB.png" TargetMode="External"/><Relationship Id="rId3358" Type="http://schemas.openxmlformats.org/officeDocument/2006/relationships/hyperlink" Target="https://us.pandora.net/on/demandware.static/-/Sites-pandora-master-catalog/default/dwbb259ca6/productimages/singlepackshot/793978C01_RGB.png" TargetMode="External"/><Relationship Id="rId279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486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693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2167" Type="http://schemas.openxmlformats.org/officeDocument/2006/relationships/hyperlink" Target="https://us.pandora.net/on/demandware.static/-/Sites-pandora-master-catalog/default/dwbb259ca6/productimages/singlepackshot/563302C00_RGB.png" TargetMode="External"/><Relationship Id="rId2374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2581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3218" Type="http://schemas.openxmlformats.org/officeDocument/2006/relationships/hyperlink" Target="https://us.pandora.net/on/demandware.static/-/Sites-pandora-master-catalog/default/dwbb259ca6/productimages/singlepackshot/793201C01_RGB.png" TargetMode="External"/><Relationship Id="rId3425" Type="http://schemas.openxmlformats.org/officeDocument/2006/relationships/hyperlink" Target="https://us.pandora.net/on/demandware.static/-/Sites-pandora-master-catalog/default/dwbb259ca6/productimages/singlepackshot/797456_RGB.png" TargetMode="External"/><Relationship Id="rId139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346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53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760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998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1183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1390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2027" Type="http://schemas.openxmlformats.org/officeDocument/2006/relationships/hyperlink" Target="https://us.pandora.net/on/demandware.static/-/Sites-pandora-master-catalog/default/dwbb259ca6/productimages/singlepackshot/388283_RGB.png" TargetMode="External"/><Relationship Id="rId2234" Type="http://schemas.openxmlformats.org/officeDocument/2006/relationships/hyperlink" Target="https://us.pandora.net/on/demandware.static/-/Sites-pandora-master-catalog/default/dwbb259ca6/productimages/singlepackshot/563867C00_RGB.png" TargetMode="External"/><Relationship Id="rId2441" Type="http://schemas.openxmlformats.org/officeDocument/2006/relationships/hyperlink" Target="https://us.pandora.net/on/demandware.static/-/Sites-pandora-master-catalog/default/dwbb259ca6/productimages/singlepackshot/590719_RGB.png" TargetMode="External"/><Relationship Id="rId2679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2886" Type="http://schemas.openxmlformats.org/officeDocument/2006/relationships/hyperlink" Target="https://us.pandora.net/on/demandware.static/-/Sites-pandora-master-catalog/default/dwbb259ca6/productimages/singlepackshot/763947C00_RGB.png" TargetMode="External"/><Relationship Id="rId206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13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858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1043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488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1695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2539" Type="http://schemas.openxmlformats.org/officeDocument/2006/relationships/hyperlink" Target="https://us.pandora.net/on/demandware.static/-/Sites-pandora-master-catalog/default/dwbb259ca6/productimages/singlepackshot/593001C01_RGB.png" TargetMode="External"/><Relationship Id="rId2746" Type="http://schemas.openxmlformats.org/officeDocument/2006/relationships/hyperlink" Target="https://us.pandora.net/on/demandware.static/-/Sites-pandora-master-catalog/default/dwbb259ca6/productimages/singlepackshot/599588C00_RGB.png" TargetMode="External"/><Relationship Id="rId2953" Type="http://schemas.openxmlformats.org/officeDocument/2006/relationships/hyperlink" Target="https://us.pandora.net/on/demandware.static/-/Sites-pandora-master-catalog/default/dwbb259ca6/productimages/singlepackshot/768761C01_RGB.png" TargetMode="External"/><Relationship Id="rId620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718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925" Type="http://schemas.openxmlformats.org/officeDocument/2006/relationships/hyperlink" Target="https://us.pandora.net/on/demandware.static/-/Sites-pandora-master-catalog/default/dwbb259ca6/productimages/singlepackshot/190980_RGB.png" TargetMode="External"/><Relationship Id="rId1250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1348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1555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1762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2301" Type="http://schemas.openxmlformats.org/officeDocument/2006/relationships/hyperlink" Target="https://us.pandora.net/on/demandware.static/-/Sites-pandora-master-catalog/default/dwbb259ca6/productimages/singlepackshot/569416C01_RGB.png" TargetMode="External"/><Relationship Id="rId2606" Type="http://schemas.openxmlformats.org/officeDocument/2006/relationships/hyperlink" Target="https://us.pandora.net/on/demandware.static/-/Sites-pandora-master-catalog/default/dwbb259ca6/productimages/singlepackshot/593738C01_RGB.png" TargetMode="External"/><Relationship Id="rId1110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208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15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2813" Type="http://schemas.openxmlformats.org/officeDocument/2006/relationships/hyperlink" Target="https://us.pandora.net/on/demandware.static/-/Sites-pandora-master-catalog/default/dwbb259ca6/productimages/singlepackshot/763072C01_RGB.png" TargetMode="External"/><Relationship Id="rId54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622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1927" Type="http://schemas.openxmlformats.org/officeDocument/2006/relationships/hyperlink" Target="https://us.pandora.net/on/demandware.static/-/Sites-pandora-master-catalog/default/dwbb259ca6/productimages/singlepackshot/293171C01_RGB.png" TargetMode="External"/><Relationship Id="rId3075" Type="http://schemas.openxmlformats.org/officeDocument/2006/relationships/hyperlink" Target="https://us.pandora.net/on/demandware.static/-/Sites-pandora-master-catalog/default/dwbb259ca6/productimages/singlepackshot/791714CZ_RGB.png" TargetMode="External"/><Relationship Id="rId3282" Type="http://schemas.openxmlformats.org/officeDocument/2006/relationships/hyperlink" Target="https://us.pandora.net/on/demandware.static/-/Sites-pandora-master-catalog/default/dwbb259ca6/productimages/singlepackshot/793593C01_RGB.png" TargetMode="External"/><Relationship Id="rId2091" Type="http://schemas.openxmlformats.org/officeDocument/2006/relationships/hyperlink" Target="https://us.pandora.net/on/demandware.static/-/Sites-pandora-master-catalog/default/dwbb259ca6/productimages/singlepackshot/394232C01_RGB.png" TargetMode="External"/><Relationship Id="rId2189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3142" Type="http://schemas.openxmlformats.org/officeDocument/2006/relationships/hyperlink" Target="https://us.pandora.net/on/demandware.static/-/Sites-pandora-master-catalog/default/dwbb259ca6/productimages/singlepackshot/792623C01_RGB.png" TargetMode="External"/><Relationship Id="rId270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2396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3002" Type="http://schemas.openxmlformats.org/officeDocument/2006/relationships/hyperlink" Target="https://us.pandora.net/on/demandware.static/-/Sites-pandora-master-catalog/default/dwbb259ca6/productimages/singlepackshot/788692C01_RGB.png" TargetMode="External"/><Relationship Id="rId3447" Type="http://schemas.openxmlformats.org/officeDocument/2006/relationships/hyperlink" Target="https://us.pandora.net/on/demandware.static/-/Sites-pandora-master-catalog/default/dwbb259ca6/productimages/singlepackshot/797478_RGB.png" TargetMode="External"/><Relationship Id="rId130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368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575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782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2049" Type="http://schemas.openxmlformats.org/officeDocument/2006/relationships/hyperlink" Target="https://us.pandora.net/on/demandware.static/-/Sites-pandora-master-catalog/default/dwbb259ca6/productimages/singlepackshot/393052C00_RGB.png" TargetMode="External"/><Relationship Id="rId2256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2463" Type="http://schemas.openxmlformats.org/officeDocument/2006/relationships/hyperlink" Target="https://us.pandora.net/on/demandware.static/-/Sites-pandora-master-catalog/default/dwbb259ca6/productimages/singlepackshot/590745CBK_RGB.png" TargetMode="External"/><Relationship Id="rId2670" Type="http://schemas.openxmlformats.org/officeDocument/2006/relationships/hyperlink" Target="https://us.pandora.net/on/demandware.static/-/Sites-pandora-master-catalog/default/dwbb259ca6/productimages/singlepackshot/597770CZ_RGB.png" TargetMode="External"/><Relationship Id="rId3307" Type="http://schemas.openxmlformats.org/officeDocument/2006/relationships/hyperlink" Target="https://us.pandora.net/on/demandware.static/-/Sites-pandora-master-catalog/default/dwbb259ca6/productimages/singlepackshot/793744C01_RGB.png" TargetMode="External"/><Relationship Id="rId3514" Type="http://schemas.openxmlformats.org/officeDocument/2006/relationships/hyperlink" Target="https://us.pandora.net/on/demandware.static/-/Sites-pandora-master-catalog/default/dwbb259ca6/productimages/singlepackshot/798950C00_RGB.png" TargetMode="External"/><Relationship Id="rId228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435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642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1065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1272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2116" Type="http://schemas.openxmlformats.org/officeDocument/2006/relationships/hyperlink" Target="https://us.pandora.net/on/demandware.static/-/Sites-pandora-master-catalog/default/dwbb259ca6/productimages/singlepackshot/550702_RGB.png" TargetMode="External"/><Relationship Id="rId2323" Type="http://schemas.openxmlformats.org/officeDocument/2006/relationships/hyperlink" Target="https://us.pandora.net/on/demandware.static/-/Sites-pandora-master-catalog/default/dwbb259ca6/productimages/singlepackshot/580719_RGB.png" TargetMode="External"/><Relationship Id="rId2530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768" Type="http://schemas.openxmlformats.org/officeDocument/2006/relationships/hyperlink" Target="https://us.pandora.net/on/demandware.static/-/Sites-pandora-master-catalog/default/dwbb259ca6/productimages/singlepackshot/760268C01_RGB.png" TargetMode="External"/><Relationship Id="rId2975" Type="http://schemas.openxmlformats.org/officeDocument/2006/relationships/hyperlink" Target="https://us.pandora.net/on/demandware.static/-/Sites-pandora-master-catalog/default/dwbb259ca6/productimages/singlepackshot/781817PCZ_RGB.png" TargetMode="External"/><Relationship Id="rId502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947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132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577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1784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1991" Type="http://schemas.openxmlformats.org/officeDocument/2006/relationships/hyperlink" Target="https://us.pandora.net/on/demandware.static/-/Sites-pandora-master-catalog/default/dwbb259ca6/productimages/singlepackshot/363272C00_RGB.png" TargetMode="External"/><Relationship Id="rId2628" Type="http://schemas.openxmlformats.org/officeDocument/2006/relationships/hyperlink" Target="https://us.pandora.net/on/demandware.static/-/Sites-pandora-master-catalog/default/dwbb259ca6/productimages/singlepackshot/593854C00_RGB.png" TargetMode="External"/><Relationship Id="rId2835" Type="http://schemas.openxmlformats.org/officeDocument/2006/relationships/hyperlink" Target="https://us.pandora.net/on/demandware.static/-/Sites-pandora-master-catalog/default/dwbb259ca6/productimages/singlepackshot/763439C00_RGB.png" TargetMode="External"/><Relationship Id="rId76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807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437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644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851" Type="http://schemas.openxmlformats.org/officeDocument/2006/relationships/hyperlink" Target="https://us.pandora.net/on/demandware.static/-/Sites-pandora-master-catalog/default/dwbb259ca6/productimages/singlepackshot/263871C00_RGB.png" TargetMode="External"/><Relationship Id="rId2902" Type="http://schemas.openxmlformats.org/officeDocument/2006/relationships/hyperlink" Target="https://us.pandora.net/on/demandware.static/-/Sites-pandora-master-catalog/default/dwbb259ca6/productimages/singlepackshot/763963C00_RGB.png" TargetMode="External"/><Relationship Id="rId3097" Type="http://schemas.openxmlformats.org/officeDocument/2006/relationships/hyperlink" Target="https://us.pandora.net/on/demandware.static/-/Sites-pandora-master-catalog/default/dwbb259ca6/productimages/singlepackshot/792015C00_E070_RGB.png" TargetMode="External"/><Relationship Id="rId1504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1711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1949" Type="http://schemas.openxmlformats.org/officeDocument/2006/relationships/hyperlink" Target="https://us.pandora.net/on/demandware.static/-/Sites-pandora-master-catalog/default/dwbb259ca6/productimages/singlepackshot/293633C01_RGB.png" TargetMode="External"/><Relationship Id="rId3164" Type="http://schemas.openxmlformats.org/officeDocument/2006/relationships/hyperlink" Target="https://us.pandora.net/on/demandware.static/-/Sites-pandora-master-catalog/default/dwbb259ca6/productimages/singlepackshot/792755C01_RGB.png" TargetMode="External"/><Relationship Id="rId292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1809" Type="http://schemas.openxmlformats.org/officeDocument/2006/relationships/hyperlink" Target="https://us.pandora.net/on/demandware.static/-/Sites-pandora-master-catalog/default/dwbb259ca6/productimages/singlepackshot/260528C01_RGB.png" TargetMode="External"/><Relationship Id="rId3371" Type="http://schemas.openxmlformats.org/officeDocument/2006/relationships/hyperlink" Target="https://us.pandora.net/on/demandware.static/-/Sites-pandora-master-catalog/default/dwbb259ca6/productimages/singlepackshot/794043C00_RGB.png" TargetMode="External"/><Relationship Id="rId3469" Type="http://schemas.openxmlformats.org/officeDocument/2006/relationships/hyperlink" Target="https://us.pandora.net/on/demandware.static/-/Sites-pandora-master-catalog/default/dwbb259ca6/productimages/singlepackshot/798081_RGB.png" TargetMode="External"/><Relationship Id="rId597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2180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2278" Type="http://schemas.openxmlformats.org/officeDocument/2006/relationships/hyperlink" Target="https://us.pandora.net/on/demandware.static/-/Sites-pandora-master-catalog/default/dwbb259ca6/productimages/singlepackshot/568707C00_RGB.png" TargetMode="External"/><Relationship Id="rId2485" Type="http://schemas.openxmlformats.org/officeDocument/2006/relationships/hyperlink" Target="https://us.pandora.net/on/demandware.static/-/Sites-pandora-master-catalog/default/dwbb259ca6/productimages/singlepackshot/591469C02_RGB.png" TargetMode="External"/><Relationship Id="rId3024" Type="http://schemas.openxmlformats.org/officeDocument/2006/relationships/hyperlink" Target="https://us.pandora.net/on/demandware.static/-/Sites-pandora-master-catalog/default/dwbb259ca6/productimages/singlepackshot/790064C04_RGB.png" TargetMode="External"/><Relationship Id="rId3231" Type="http://schemas.openxmlformats.org/officeDocument/2006/relationships/hyperlink" Target="https://us.pandora.net/on/demandware.static/-/Sites-pandora-master-catalog/default/dwbb259ca6/productimages/singlepackshot/793337C03_RGB.png" TargetMode="External"/><Relationship Id="rId3329" Type="http://schemas.openxmlformats.org/officeDocument/2006/relationships/hyperlink" Target="https://us.pandora.net/on/demandware.static/-/Sites-pandora-master-catalog/default/dwbb259ca6/productimages/singlepackshot/793821C01_RGB.png" TargetMode="External"/><Relationship Id="rId152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457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1087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1294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2040" Type="http://schemas.openxmlformats.org/officeDocument/2006/relationships/hyperlink" Target="https://us.pandora.net/on/demandware.static/-/Sites-pandora-master-catalog/default/dwbb259ca6/productimages/singlepackshot/392451C00_RGB.png" TargetMode="External"/><Relationship Id="rId2138" Type="http://schemas.openxmlformats.org/officeDocument/2006/relationships/hyperlink" Target="https://us.pandora.net/on/demandware.static/-/Sites-pandora-master-catalog/default/dwbb259ca6/productimages/singlepackshot/561469C03_RGB.png" TargetMode="External"/><Relationship Id="rId2692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2997" Type="http://schemas.openxmlformats.org/officeDocument/2006/relationships/hyperlink" Target="https://us.pandora.net/on/demandware.static/-/Sites-pandora-master-catalog/default/dwbb259ca6/productimages/singlepackshot/787247NLCMX_RGB.png" TargetMode="External"/><Relationship Id="rId3536" Type="http://schemas.openxmlformats.org/officeDocument/2006/relationships/hyperlink" Target="https://us.pandora.net/on/demandware.static/-/Sites-pandora-master-catalog/default/dwbb259ca6/productimages/singlepackshot/799360C00_RGB.png" TargetMode="External"/><Relationship Id="rId664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871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969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599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2345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2" Type="http://schemas.openxmlformats.org/officeDocument/2006/relationships/hyperlink" Target="https://us.pandora.net/on/demandware.static/-/Sites-pandora-master-catalog/default/dwbb259ca6/productimages/singlepackshot/593172C01_RGB.png" TargetMode="External"/><Relationship Id="rId317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524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731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1154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61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1459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2205" Type="http://schemas.openxmlformats.org/officeDocument/2006/relationships/hyperlink" Target="https://us.pandora.net/on/demandware.static/-/Sites-pandora-master-catalog/default/dwbb259ca6/productimages/singlepackshot/563689C00_RGB.png" TargetMode="External"/><Relationship Id="rId2412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857" Type="http://schemas.openxmlformats.org/officeDocument/2006/relationships/hyperlink" Target="https://us.pandora.net/on/demandware.static/-/Sites-pandora-master-catalog/default/dwbb259ca6/productimages/singlepackshot/763622C01_RGB.png" TargetMode="External"/><Relationship Id="rId98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829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1014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221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666" Type="http://schemas.openxmlformats.org/officeDocument/2006/relationships/hyperlink" Target="https://us.pandora.net/on/demandware.static/-/Sites-pandora-master-catalog/default/dwbb259ca6/productimages/singlepackshot/197681_RGB.png" TargetMode="External"/><Relationship Id="rId1873" Type="http://schemas.openxmlformats.org/officeDocument/2006/relationships/hyperlink" Target="https://us.pandora.net/on/demandware.static/-/Sites-pandora-master-catalog/default/dwbb259ca6/productimages/singlepackshot/288307_RGB.png" TargetMode="External"/><Relationship Id="rId2717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2924" Type="http://schemas.openxmlformats.org/officeDocument/2006/relationships/hyperlink" Target="https://us.pandora.net/on/demandware.static/-/Sites-pandora-master-catalog/default/dwbb259ca6/productimages/singlepackshot/764050C00_RGB.png" TargetMode="External"/><Relationship Id="rId1319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1526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1733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1940" Type="http://schemas.openxmlformats.org/officeDocument/2006/relationships/hyperlink" Target="https://us.pandora.net/on/demandware.static/-/Sites-pandora-master-catalog/default/dwbb259ca6/productimages/singlepackshot/293528C00_RGB.png" TargetMode="External"/><Relationship Id="rId3186" Type="http://schemas.openxmlformats.org/officeDocument/2006/relationships/hyperlink" Target="https://us.pandora.net/on/demandware.static/-/Sites-pandora-master-catalog/default/dwbb259ca6/productimages/singlepackshot/793033C00_RGB.png" TargetMode="External"/><Relationship Id="rId3393" Type="http://schemas.openxmlformats.org/officeDocument/2006/relationships/hyperlink" Target="https://us.pandora.net/on/demandware.static/-/Sites-pandora-master-catalog/default/dwbb259ca6/productimages/singlepackshot/794217C01_RGB.png" TargetMode="External"/><Relationship Id="rId25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1800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3046" Type="http://schemas.openxmlformats.org/officeDocument/2006/relationships/hyperlink" Target="https://us.pandora.net/on/demandware.static/-/Sites-pandora-master-catalog/default/dwbb259ca6/productimages/singlepackshot/790930_RGB.png" TargetMode="External"/><Relationship Id="rId3253" Type="http://schemas.openxmlformats.org/officeDocument/2006/relationships/hyperlink" Target="https://us.pandora.net/on/demandware.static/-/Sites-pandora-master-catalog/default/dwbb259ca6/productimages/singlepackshot/793420C01_RGB.png" TargetMode="External"/><Relationship Id="rId3460" Type="http://schemas.openxmlformats.org/officeDocument/2006/relationships/hyperlink" Target="https://us.pandora.net/on/demandware.static/-/Sites-pandora-master-catalog/default/dwbb259ca6/productimages/singlepackshot/798015ENMX_RGB.png" TargetMode="External"/><Relationship Id="rId174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381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2062" Type="http://schemas.openxmlformats.org/officeDocument/2006/relationships/hyperlink" Target="https://us.pandora.net/on/demandware.static/-/Sites-pandora-master-catalog/default/dwbb259ca6/productimages/singlepackshot/393303C01_RGB.png" TargetMode="External"/><Relationship Id="rId3113" Type="http://schemas.openxmlformats.org/officeDocument/2006/relationships/hyperlink" Target="https://us.pandora.net/on/demandware.static/-/Sites-pandora-master-catalog/default/dwbb259ca6/productimages/singlepackshot/792213C01_RGB.png" TargetMode="External"/><Relationship Id="rId241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479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686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893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2367" Type="http://schemas.openxmlformats.org/officeDocument/2006/relationships/hyperlink" Target="https://us.pandora.net/on/demandware.static/-/Sites-pandora-master-catalog/default/dwbb259ca6/productimages/singlepackshot/588342CZ_RGB.png" TargetMode="External"/><Relationship Id="rId2574" Type="http://schemas.openxmlformats.org/officeDocument/2006/relationships/hyperlink" Target="https://us.pandora.net/on/demandware.static/-/Sites-pandora-master-catalog/default/dwbb259ca6/productimages/singlepackshot/593539C01_RGB.png" TargetMode="External"/><Relationship Id="rId2781" Type="http://schemas.openxmlformats.org/officeDocument/2006/relationships/hyperlink" Target="https://us.pandora.net/on/demandware.static/-/Sites-pandora-master-catalog/default/dwbb259ca6/productimages/singlepackshot/762606C01_RGB.png" TargetMode="External"/><Relationship Id="rId3320" Type="http://schemas.openxmlformats.org/officeDocument/2006/relationships/hyperlink" Target="https://us.pandora.net/on/demandware.static/-/Sites-pandora-master-catalog/default/dwbb259ca6/productimages/singlepackshot/793780C01_RGB.png" TargetMode="External"/><Relationship Id="rId3418" Type="http://schemas.openxmlformats.org/officeDocument/2006/relationships/hyperlink" Target="https://us.pandora.net/on/demandware.static/-/Sites-pandora-master-catalog/default/dwbb259ca6/productimages/singlepackshot/797173CZR_RGB.png" TargetMode="External"/><Relationship Id="rId339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546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753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1176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1383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2227" Type="http://schemas.openxmlformats.org/officeDocument/2006/relationships/hyperlink" Target="https://us.pandora.net/on/demandware.static/-/Sites-pandora-master-catalog/default/dwbb259ca6/productimages/singlepackshot/563829C00_RGB.png" TargetMode="External"/><Relationship Id="rId2434" Type="http://schemas.openxmlformats.org/officeDocument/2006/relationships/hyperlink" Target="https://us.pandora.net/on/demandware.static/-/Sites-pandora-master-catalog/default/dwbb259ca6/productimages/singlepackshot/590713_RGB.png" TargetMode="External"/><Relationship Id="rId2879" Type="http://schemas.openxmlformats.org/officeDocument/2006/relationships/hyperlink" Target="https://us.pandora.net/on/demandware.static/-/Sites-pandora-master-catalog/default/dwbb259ca6/productimages/singlepackshot/763891C01_RGB.png" TargetMode="External"/><Relationship Id="rId101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406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960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036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243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590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1688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1895" Type="http://schemas.openxmlformats.org/officeDocument/2006/relationships/hyperlink" Target="https://us.pandora.net/on/demandware.static/-/Sites-pandora-master-catalog/default/dwbb259ca6/productimages/singlepackshot/292334C03_RGB.png" TargetMode="External"/><Relationship Id="rId2641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2739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2946" Type="http://schemas.openxmlformats.org/officeDocument/2006/relationships/hyperlink" Target="https://us.pandora.net/on/demandware.static/-/Sites-pandora-master-catalog/default/dwbb259ca6/productimages/singlepackshot/767516C00_RGB.png" TargetMode="External"/><Relationship Id="rId613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820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918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450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548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1755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2501" Type="http://schemas.openxmlformats.org/officeDocument/2006/relationships/hyperlink" Target="https://us.pandora.net/on/demandware.static/-/Sites-pandora-master-catalog/default/dwbb259ca6/productimages/singlepackshot/592324C01_RGB.png" TargetMode="External"/><Relationship Id="rId1103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310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408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1962" Type="http://schemas.openxmlformats.org/officeDocument/2006/relationships/hyperlink" Target="https://us.pandora.net/on/demandware.static/-/Sites-pandora-master-catalog/default/dwbb259ca6/productimages/singlepackshot/294257C01_RGB.png" TargetMode="External"/><Relationship Id="rId2806" Type="http://schemas.openxmlformats.org/officeDocument/2006/relationships/hyperlink" Target="https://us.pandora.net/on/demandware.static/-/Sites-pandora-master-catalog/default/dwbb259ca6/productimages/singlepackshot/763033C00_RGB.png" TargetMode="External"/><Relationship Id="rId47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615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1822" Type="http://schemas.openxmlformats.org/officeDocument/2006/relationships/hyperlink" Target="https://us.pandora.net/on/demandware.static/-/Sites-pandora-master-catalog/default/dwbb259ca6/productimages/singlepackshot/263170C01_RGB.png" TargetMode="External"/><Relationship Id="rId3068" Type="http://schemas.openxmlformats.org/officeDocument/2006/relationships/hyperlink" Target="https://us.pandora.net/on/demandware.static/-/Sites-pandora-master-catalog/default/dwbb259ca6/productimages/singlepackshot/791691C01_RGB.png" TargetMode="External"/><Relationship Id="rId3275" Type="http://schemas.openxmlformats.org/officeDocument/2006/relationships/hyperlink" Target="https://us.pandora.net/on/demandware.static/-/Sites-pandora-master-catalog/default/dwbb259ca6/productimages/singlepackshot/793564C01_RGB.png" TargetMode="External"/><Relationship Id="rId3482" Type="http://schemas.openxmlformats.org/officeDocument/2006/relationships/hyperlink" Target="https://us.pandora.net/on/demandware.static/-/Sites-pandora-master-catalog/default/dwbb259ca6/productimages/singlepackshot/798424C01_RGB.png" TargetMode="External"/><Relationship Id="rId196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2084" Type="http://schemas.openxmlformats.org/officeDocument/2006/relationships/hyperlink" Target="https://us.pandora.net/on/demandware.static/-/Sites-pandora-master-catalog/default/dwbb259ca6/productimages/singlepackshot/394007C01_RGB.png" TargetMode="External"/><Relationship Id="rId2291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3135" Type="http://schemas.openxmlformats.org/officeDocument/2006/relationships/hyperlink" Target="https://us.pandora.net/on/demandware.static/-/Sites-pandora-master-catalog/default/dwbb259ca6/productimages/singlepackshot/792523C01_RGB.png" TargetMode="External"/><Relationship Id="rId3342" Type="http://schemas.openxmlformats.org/officeDocument/2006/relationships/hyperlink" Target="https://us.pandora.net/on/demandware.static/-/Sites-pandora-master-catalog/default/dwbb259ca6/productimages/singlepackshot/793900C01_RGB.png" TargetMode="External"/><Relationship Id="rId263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470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2151" Type="http://schemas.openxmlformats.org/officeDocument/2006/relationships/hyperlink" Target="https://us.pandora.net/on/demandware.static/-/Sites-pandora-master-catalog/default/dwbb259ca6/productimages/singlepackshot/563008C01_RGB.png" TargetMode="External"/><Relationship Id="rId2389" Type="http://schemas.openxmlformats.org/officeDocument/2006/relationships/hyperlink" Target="https://us.pandora.net/on/demandware.static/-/Sites-pandora-master-catalog/default/dwbb259ca6/productimages/singlepackshot/589662C00_RGB.png" TargetMode="External"/><Relationship Id="rId2596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3202" Type="http://schemas.openxmlformats.org/officeDocument/2006/relationships/hyperlink" Target="https://us.pandora.net/on/demandware.static/-/Sites-pandora-master-catalog/default/dwbb259ca6/productimages/singlepackshot/793106C00_RGB.png" TargetMode="External"/><Relationship Id="rId123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330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568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775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982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1198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11" Type="http://schemas.openxmlformats.org/officeDocument/2006/relationships/hyperlink" Target="https://us.pandora.net/on/demandware.static/-/Sites-pandora-master-catalog/default/dwbb259ca6/productimages/singlepackshot/368425C02_RGB.png" TargetMode="External"/><Relationship Id="rId2249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2456" Type="http://schemas.openxmlformats.org/officeDocument/2006/relationships/hyperlink" Target="https://us.pandora.net/on/demandware.static/-/Sites-pandora-master-catalog/default/dwbb259ca6/productimages/singlepackshot/590728_RGB.png" TargetMode="External"/><Relationship Id="rId2663" Type="http://schemas.openxmlformats.org/officeDocument/2006/relationships/hyperlink" Target="https://us.pandora.net/on/demandware.static/-/Sites-pandora-master-catalog/default/dwbb259ca6/productimages/singlepackshot/596268_RGB.png" TargetMode="External"/><Relationship Id="rId2870" Type="http://schemas.openxmlformats.org/officeDocument/2006/relationships/hyperlink" Target="https://us.pandora.net/on/demandware.static/-/Sites-pandora-master-catalog/default/dwbb259ca6/productimages/singlepackshot/763785C01_RGB.png" TargetMode="External"/><Relationship Id="rId3507" Type="http://schemas.openxmlformats.org/officeDocument/2006/relationships/hyperlink" Target="https://us.pandora.net/on/demandware.static/-/Sites-pandora-master-catalog/default/dwbb259ca6/productimages/singlepackshot/798896C01_RGB.png" TargetMode="External"/><Relationship Id="rId428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635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842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058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1265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1472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2109" Type="http://schemas.openxmlformats.org/officeDocument/2006/relationships/hyperlink" Target="https://us.pandora.net/on/demandware.static/-/Sites-pandora-master-catalog/default/dwbb259ca6/productimages/singlepackshot/399384C00_RGB.png" TargetMode="External"/><Relationship Id="rId2316" Type="http://schemas.openxmlformats.org/officeDocument/2006/relationships/hyperlink" Target="https://us.pandora.net/on/demandware.static/-/Sites-pandora-master-catalog/default/dwbb259ca6/productimages/singlepackshot/569662C00_RGB.png" TargetMode="External"/><Relationship Id="rId2523" Type="http://schemas.openxmlformats.org/officeDocument/2006/relationships/hyperlink" Target="https://us.pandora.net/on/demandware.static/-/Sites-pandora-master-catalog/default/dwbb259ca6/productimages/singlepackshot/592790C01_RGB.png" TargetMode="External"/><Relationship Id="rId2730" Type="http://schemas.openxmlformats.org/officeDocument/2006/relationships/hyperlink" Target="https://us.pandora.net/on/demandware.static/-/Sites-pandora-master-catalog/default/dwbb259ca6/productimages/singlepackshot/599416C01_RGB.png" TargetMode="External"/><Relationship Id="rId2968" Type="http://schemas.openxmlformats.org/officeDocument/2006/relationships/hyperlink" Target="https://us.pandora.net/on/demandware.static/-/Sites-pandora-master-catalog/default/dwbb259ca6/productimages/singlepackshot/780964_RGB.png" TargetMode="External"/><Relationship Id="rId702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1125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332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777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1984" Type="http://schemas.openxmlformats.org/officeDocument/2006/relationships/hyperlink" Target="https://us.pandora.net/on/demandware.static/-/Sites-pandora-master-catalog/default/dwbb259ca6/productimages/singlepackshot/362451C00_RGB.png" TargetMode="External"/><Relationship Id="rId2828" Type="http://schemas.openxmlformats.org/officeDocument/2006/relationships/hyperlink" Target="https://us.pandora.net/on/demandware.static/-/Sites-pandora-master-catalog/default/dwbb259ca6/productimages/singlepackshot/763389C01_RGB.png" TargetMode="External"/><Relationship Id="rId69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1637" Type="http://schemas.openxmlformats.org/officeDocument/2006/relationships/hyperlink" Target="https://us.pandora.net/on/demandware.static/-/Sites-pandora-master-catalog/default/dwbb259ca6/productimages/singlepackshot/196314_RGB.png" TargetMode="External"/><Relationship Id="rId1844" Type="http://schemas.openxmlformats.org/officeDocument/2006/relationships/hyperlink" Target="https://us.pandora.net/on/demandware.static/-/Sites-pandora-master-catalog/default/dwbb259ca6/productimages/singlepackshot/263807C00_RGB.png" TargetMode="External"/><Relationship Id="rId3297" Type="http://schemas.openxmlformats.org/officeDocument/2006/relationships/hyperlink" Target="https://us.pandora.net/on/demandware.static/-/Sites-pandora-master-catalog/default/dwbb259ca6/productimages/singlepackshot/793672C01_RGB.png" TargetMode="External"/><Relationship Id="rId1704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3157" Type="http://schemas.openxmlformats.org/officeDocument/2006/relationships/hyperlink" Target="https://us.pandora.net/on/demandware.static/-/Sites-pandora-master-catalog/default/dwbb259ca6/productimages/singlepackshot/792704C01_RGB.png" TargetMode="External"/><Relationship Id="rId285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1911" Type="http://schemas.openxmlformats.org/officeDocument/2006/relationships/hyperlink" Target="https://us.pandora.net/on/demandware.static/-/Sites-pandora-master-catalog/default/dwbb259ca6/productimages/singlepackshot/292728C00_RGB.png" TargetMode="External"/><Relationship Id="rId3364" Type="http://schemas.openxmlformats.org/officeDocument/2006/relationships/hyperlink" Target="https://us.pandora.net/on/demandware.static/-/Sites-pandora-master-catalog/default/dwbb259ca6/productimages/singlepackshot/794021C01_RGB.png" TargetMode="External"/><Relationship Id="rId492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797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2173" Type="http://schemas.openxmlformats.org/officeDocument/2006/relationships/hyperlink" Target="https://us.pandora.net/on/demandware.static/-/Sites-pandora-master-catalog/default/dwbb259ca6/productimages/singlepackshot/563317C00_RGB.png" TargetMode="External"/><Relationship Id="rId2380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2478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3017" Type="http://schemas.openxmlformats.org/officeDocument/2006/relationships/hyperlink" Target="https://us.pandora.net/on/demandware.static/-/Sites-pandora-master-catalog/default/dwbb259ca6/productimages/singlepackshot/789434C01_RGB.png" TargetMode="External"/><Relationship Id="rId3224" Type="http://schemas.openxmlformats.org/officeDocument/2006/relationships/hyperlink" Target="https://us.pandora.net/on/demandware.static/-/Sites-pandora-master-catalog/default/dwbb259ca6/productimages/singlepackshot/793241C00_RGB.png" TargetMode="External"/><Relationship Id="rId3431" Type="http://schemas.openxmlformats.org/officeDocument/2006/relationships/hyperlink" Target="https://us.pandora.net/on/demandware.static/-/Sites-pandora-master-catalog/default/dwbb259ca6/productimages/singlepackshot/797462_RGB.png" TargetMode="External"/><Relationship Id="rId145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352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1287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2033" Type="http://schemas.openxmlformats.org/officeDocument/2006/relationships/hyperlink" Target="https://us.pandora.net/on/demandware.static/-/Sites-pandora-master-catalog/default/dwbb259ca6/productimages/singlepackshot/390055C01_RGB.png" TargetMode="External"/><Relationship Id="rId2240" Type="http://schemas.openxmlformats.org/officeDocument/2006/relationships/hyperlink" Target="https://us.pandora.net/on/demandware.static/-/Sites-pandora-master-catalog/default/dwbb259ca6/productimages/singlepackshot/564010C01_RGB.png" TargetMode="External"/><Relationship Id="rId2685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2892" Type="http://schemas.openxmlformats.org/officeDocument/2006/relationships/hyperlink" Target="https://us.pandora.net/on/demandware.static/-/Sites-pandora-master-catalog/default/dwbb259ca6/productimages/singlepackshot/763953C00_RGB.png" TargetMode="External"/><Relationship Id="rId3529" Type="http://schemas.openxmlformats.org/officeDocument/2006/relationships/hyperlink" Target="https://us.pandora.net/on/demandware.static/-/Sites-pandora-master-catalog/default/dwbb259ca6/productimages/singlepackshot/799218C02_RGB.png" TargetMode="External"/><Relationship Id="rId212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657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864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494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1799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2100" Type="http://schemas.openxmlformats.org/officeDocument/2006/relationships/hyperlink" Target="https://us.pandora.net/on/demandware.static/-/Sites-pandora-master-catalog/default/dwbb259ca6/productimages/singlepackshot/398296_RGB.png" TargetMode="External"/><Relationship Id="rId2338" Type="http://schemas.openxmlformats.org/officeDocument/2006/relationships/hyperlink" Target="https://us.pandora.net/on/demandware.static/-/Sites-pandora-master-catalog/default/dwbb259ca6/productimages/singlepackshot/581469C01_RGB.png" TargetMode="External"/><Relationship Id="rId2545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2752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517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724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931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147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54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1561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2405" Type="http://schemas.openxmlformats.org/officeDocument/2006/relationships/hyperlink" Target="https://us.pandora.net/on/demandware.static/-/Sites-pandora-master-catalog/default/dwbb259ca6/productimages/singlepackshot/590041C01_RGB.png" TargetMode="External"/><Relationship Id="rId2612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60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007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214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421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659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1866" Type="http://schemas.openxmlformats.org/officeDocument/2006/relationships/hyperlink" Target="https://us.pandora.net/on/demandware.static/-/Sites-pandora-master-catalog/default/dwbb259ca6/productimages/singlepackshot/269682C01_RGB.png" TargetMode="External"/><Relationship Id="rId2917" Type="http://schemas.openxmlformats.org/officeDocument/2006/relationships/hyperlink" Target="https://us.pandora.net/on/demandware.static/-/Sites-pandora-master-catalog/default/dwbb259ca6/productimages/singlepackshot/764020C01_RGB.png" TargetMode="External"/><Relationship Id="rId3081" Type="http://schemas.openxmlformats.org/officeDocument/2006/relationships/hyperlink" Target="https://us.pandora.net/on/demandware.static/-/Sites-pandora-master-catalog/default/dwbb259ca6/productimages/singlepackshot/791817CZ_RGB.png" TargetMode="External"/><Relationship Id="rId1519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1726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1933" Type="http://schemas.openxmlformats.org/officeDocument/2006/relationships/hyperlink" Target="https://us.pandora.net/on/demandware.static/-/Sites-pandora-master-catalog/default/dwbb259ca6/productimages/singlepackshot/293290C00_RGB.png" TargetMode="External"/><Relationship Id="rId3179" Type="http://schemas.openxmlformats.org/officeDocument/2006/relationships/hyperlink" Target="https://us.pandora.net/on/demandware.static/-/Sites-pandora-master-catalog/default/dwbb259ca6/productimages/singlepackshot/792981C01_RGB.png" TargetMode="External"/><Relationship Id="rId3386" Type="http://schemas.openxmlformats.org/officeDocument/2006/relationships/hyperlink" Target="https://us.pandora.net/on/demandware.static/-/Sites-pandora-master-catalog/default/dwbb259ca6/productimages/singlepackshot/794161C01_RGB.png" TargetMode="External"/><Relationship Id="rId18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2195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3039" Type="http://schemas.openxmlformats.org/officeDocument/2006/relationships/hyperlink" Target="https://us.pandora.net/on/demandware.static/-/Sites-pandora-master-catalog/default/dwbb259ca6/productimages/singlepackshot/790762C01_RGB.png" TargetMode="External"/><Relationship Id="rId3246" Type="http://schemas.openxmlformats.org/officeDocument/2006/relationships/hyperlink" Target="https://us.pandora.net/on/demandware.static/-/Sites-pandora-master-catalog/default/dwbb259ca6/productimages/singlepackshot/793364C01_RGB.png" TargetMode="External"/><Relationship Id="rId3453" Type="http://schemas.openxmlformats.org/officeDocument/2006/relationships/hyperlink" Target="https://us.pandora.net/on/demandware.static/-/Sites-pandora-master-catalog/default/dwbb259ca6/productimages/singlepackshot/797777EN16_RGB.png" TargetMode="External"/><Relationship Id="rId167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374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581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2055" Type="http://schemas.openxmlformats.org/officeDocument/2006/relationships/hyperlink" Target="https://us.pandora.net/on/demandware.static/-/Sites-pandora-master-catalog/default/dwbb259ca6/productimages/singlepackshot/393161C01_RGB.png" TargetMode="External"/><Relationship Id="rId2262" Type="http://schemas.openxmlformats.org/officeDocument/2006/relationships/hyperlink" Target="https://us.pandora.net/on/demandware.static/-/Sites-pandora-master-catalog/default/dwbb259ca6/productimages/singlepackshot/564229C01_RGB.png" TargetMode="External"/><Relationship Id="rId3106" Type="http://schemas.openxmlformats.org/officeDocument/2006/relationships/hyperlink" Target="https://us.pandora.net/on/demandware.static/-/Sites-pandora-master-catalog/default/dwbb259ca6/productimages/singlepackshot/792072EN40_RGB.png" TargetMode="External"/><Relationship Id="rId234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679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886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2567" Type="http://schemas.openxmlformats.org/officeDocument/2006/relationships/hyperlink" Target="https://us.pandora.net/on/demandware.static/-/Sites-pandora-master-catalog/default/dwbb259ca6/productimages/singlepackshot/593363C00_RGB.png" TargetMode="External"/><Relationship Id="rId2774" Type="http://schemas.openxmlformats.org/officeDocument/2006/relationships/hyperlink" Target="https://us.pandora.net/on/demandware.static/-/Sites-pandora-master-catalog/default/dwbb259ca6/productimages/singlepackshot/762015C00_RGB.png" TargetMode="External"/><Relationship Id="rId3313" Type="http://schemas.openxmlformats.org/officeDocument/2006/relationships/hyperlink" Target="https://us.pandora.net/on/demandware.static/-/Sites-pandora-master-catalog/default/dwbb259ca6/productimages/singlepackshot/793751C01_RGB.png" TargetMode="External"/><Relationship Id="rId3520" Type="http://schemas.openxmlformats.org/officeDocument/2006/relationships/hyperlink" Target="https://us.pandora.net/on/demandware.static/-/Sites-pandora-master-catalog/default/dwbb259ca6/productimages/singlepackshot/799144C00_RGB.png" TargetMode="External"/><Relationship Id="rId2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441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539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746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1071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1169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1376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1583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2122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427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2981" Type="http://schemas.openxmlformats.org/officeDocument/2006/relationships/hyperlink" Target="https://us.pandora.net/on/demandware.static/-/Sites-pandora-master-catalog/default/dwbb259ca6/productimages/singlepackshot/782327C00_RGB.png" TargetMode="External"/><Relationship Id="rId301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953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029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236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790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1888" Type="http://schemas.openxmlformats.org/officeDocument/2006/relationships/hyperlink" Target="https://us.pandora.net/on/demandware.static/-/Sites-pandora-master-catalog/default/dwbb259ca6/productimages/singlepackshot/291076C01_RGB.png" TargetMode="External"/><Relationship Id="rId2634" Type="http://schemas.openxmlformats.org/officeDocument/2006/relationships/hyperlink" Target="https://us.pandora.net/on/demandware.static/-/Sites-pandora-master-catalog/default/dwbb259ca6/productimages/singlepackshot/594010C01_RGB.png" TargetMode="External"/><Relationship Id="rId2841" Type="http://schemas.openxmlformats.org/officeDocument/2006/relationships/hyperlink" Target="https://us.pandora.net/on/demandware.static/-/Sites-pandora-master-catalog/default/dwbb259ca6/productimages/singlepackshot/763462C06_RGB.png" TargetMode="External"/><Relationship Id="rId2939" Type="http://schemas.openxmlformats.org/officeDocument/2006/relationships/hyperlink" Target="https://us.pandora.net/on/demandware.static/-/Sites-pandora-master-catalog/default/dwbb259ca6/productimages/singlepackshot/764207C01_RGB.png" TargetMode="External"/><Relationship Id="rId82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606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813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443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650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748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2701" Type="http://schemas.openxmlformats.org/officeDocument/2006/relationships/hyperlink" Target="https://us.pandora.net/on/demandware.static/-/Sites-pandora-master-catalog/default/dwbb259ca6/productimages/singlepackshot/599190C01_RGB.png" TargetMode="External"/><Relationship Id="rId1303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1510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955" Type="http://schemas.openxmlformats.org/officeDocument/2006/relationships/hyperlink" Target="https://us.pandora.net/on/demandware.static/-/Sites-pandora-master-catalog/default/dwbb259ca6/productimages/singlepackshot/293779C01_RGB.png" TargetMode="External"/><Relationship Id="rId3170" Type="http://schemas.openxmlformats.org/officeDocument/2006/relationships/hyperlink" Target="https://us.pandora.net/on/demandware.static/-/Sites-pandora-master-catalog/default/dwbb259ca6/productimages/singlepackshot/792821C01_RGB.png" TargetMode="External"/><Relationship Id="rId1608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1815" Type="http://schemas.openxmlformats.org/officeDocument/2006/relationships/hyperlink" Target="https://us.pandora.net/on/demandware.static/-/Sites-pandora-master-catalog/default/dwbb259ca6/productimages/singlepackshot/262796C01_RGB.png" TargetMode="External"/><Relationship Id="rId3030" Type="http://schemas.openxmlformats.org/officeDocument/2006/relationships/hyperlink" Target="https://us.pandora.net/on/demandware.static/-/Sites-pandora-master-catalog/default/dwbb259ca6/productimages/singlepackshot/790075C01_RGB.png" TargetMode="External"/><Relationship Id="rId3268" Type="http://schemas.openxmlformats.org/officeDocument/2006/relationships/hyperlink" Target="https://us.pandora.net/on/demandware.static/-/Sites-pandora-master-catalog/default/dwbb259ca6/productimages/singlepackshot/793530C01_RGB.png" TargetMode="External"/><Relationship Id="rId3475" Type="http://schemas.openxmlformats.org/officeDocument/2006/relationships/hyperlink" Target="https://us.pandora.net/on/demandware.static/-/Sites-pandora-master-catalog/default/dwbb259ca6/productimages/singlepackshot/798415C01_RGB.png" TargetMode="External"/><Relationship Id="rId189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396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2077" Type="http://schemas.openxmlformats.org/officeDocument/2006/relationships/hyperlink" Target="https://us.pandora.net/on/demandware.static/-/Sites-pandora-master-catalog/default/dwbb259ca6/productimages/singlepackshot/393682C00_RGB.png" TargetMode="External"/><Relationship Id="rId2284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2491" Type="http://schemas.openxmlformats.org/officeDocument/2006/relationships/hyperlink" Target="https://us.pandora.net/on/demandware.static/-/Sites-pandora-master-catalog/default/dwbb259ca6/productimages/singlepackshot/591469C04_RGB.png" TargetMode="External"/><Relationship Id="rId3128" Type="http://schemas.openxmlformats.org/officeDocument/2006/relationships/hyperlink" Target="https://us.pandora.net/on/demandware.static/-/Sites-pandora-master-catalog/default/dwbb259ca6/productimages/singlepackshot/792363C01_RGB.png" TargetMode="External"/><Relationship Id="rId3335" Type="http://schemas.openxmlformats.org/officeDocument/2006/relationships/hyperlink" Target="https://us.pandora.net/on/demandware.static/-/Sites-pandora-master-catalog/default/dwbb259ca6/productimages/singlepackshot/793858C01_RGB.png" TargetMode="External"/><Relationship Id="rId3542" Type="http://schemas.openxmlformats.org/officeDocument/2006/relationships/hyperlink" Target="https://us.pandora.net/on/demandware.static/-/Sites-pandora-master-catalog/default/dwbb259ca6/productimages/singlepackshot/799429C01_RGB.png" TargetMode="External"/><Relationship Id="rId256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463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670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1093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2144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2351" Type="http://schemas.openxmlformats.org/officeDocument/2006/relationships/hyperlink" Target="https://us.pandora.net/on/demandware.static/-/Sites-pandora-master-catalog/default/dwbb259ca6/productimages/singlepackshot/582731C00_RGB.png" TargetMode="External"/><Relationship Id="rId2589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2796" Type="http://schemas.openxmlformats.org/officeDocument/2006/relationships/hyperlink" Target="https://us.pandora.net/on/demandware.static/-/Sites-pandora-master-catalog/default/dwbb259ca6/productimages/singlepackshot/762720C01_RGB.png" TargetMode="External"/><Relationship Id="rId3402" Type="http://schemas.openxmlformats.org/officeDocument/2006/relationships/hyperlink" Target="https://us.pandora.net/on/demandware.static/-/Sites-pandora-master-catalog/default/dwbb259ca6/productimages/singlepackshot/794245C01_RGB.png" TargetMode="External"/><Relationship Id="rId116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323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530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768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975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1160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398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004" Type="http://schemas.openxmlformats.org/officeDocument/2006/relationships/hyperlink" Target="https://us.pandora.net/on/demandware.static/-/Sites-pandora-master-catalog/default/dwbb259ca6/productimages/singlepackshot/364009C01_RGB.png" TargetMode="External"/><Relationship Id="rId2211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449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2656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2863" Type="http://schemas.openxmlformats.org/officeDocument/2006/relationships/hyperlink" Target="https://us.pandora.net/on/demandware.static/-/Sites-pandora-master-catalog/default/dwbb259ca6/productimages/singlepackshot/763691C00_RGB.png" TargetMode="External"/><Relationship Id="rId628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835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258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1465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1672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2309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2516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723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1020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118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1325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1532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1977" Type="http://schemas.openxmlformats.org/officeDocument/2006/relationships/hyperlink" Target="https://us.pandora.net/on/demandware.static/-/Sites-pandora-master-catalog/default/dwbb259ca6/productimages/singlepackshot/299682C01_RGB.png" TargetMode="External"/><Relationship Id="rId2930" Type="http://schemas.openxmlformats.org/officeDocument/2006/relationships/hyperlink" Target="https://us.pandora.net/on/demandware.static/-/Sites-pandora-master-catalog/default/dwbb259ca6/productimages/singlepackshot/764082C01_RGB.png" TargetMode="External"/><Relationship Id="rId902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837" Type="http://schemas.openxmlformats.org/officeDocument/2006/relationships/hyperlink" Target="https://us.pandora.net/on/demandware.static/-/Sites-pandora-master-catalog/default/dwbb259ca6/productimages/singlepackshot/263308C00_RGB.png" TargetMode="External"/><Relationship Id="rId3192" Type="http://schemas.openxmlformats.org/officeDocument/2006/relationships/hyperlink" Target="https://us.pandora.net/on/demandware.static/-/Sites-pandora-master-catalog/default/dwbb259ca6/productimages/singlepackshot/793044C01_RGB.png" TargetMode="External"/><Relationship Id="rId3497" Type="http://schemas.openxmlformats.org/officeDocument/2006/relationships/hyperlink" Target="https://us.pandora.net/on/demandware.static/-/Sites-pandora-master-catalog/default/dwbb259ca6/productimages/singlepackshot/798825C00_RGB.png" TargetMode="External"/><Relationship Id="rId31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2099" Type="http://schemas.openxmlformats.org/officeDocument/2006/relationships/hyperlink" Target="https://us.pandora.net/on/demandware.static/-/Sites-pandora-master-catalog/default/dwbb259ca6/productimages/singlepackshot/398283_RGB.png" TargetMode="External"/><Relationship Id="rId3052" Type="http://schemas.openxmlformats.org/officeDocument/2006/relationships/hyperlink" Target="https://us.pandora.net/on/demandware.static/-/Sites-pandora-master-catalog/default/dwbb259ca6/productimages/singlepackshot/791151C01_RGB.png" TargetMode="External"/><Relationship Id="rId180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278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1904" Type="http://schemas.openxmlformats.org/officeDocument/2006/relationships/hyperlink" Target="https://us.pandora.net/on/demandware.static/-/Sites-pandora-master-catalog/default/dwbb259ca6/productimages/singlepackshot/292335C03_RGB.png" TargetMode="External"/><Relationship Id="rId3357" Type="http://schemas.openxmlformats.org/officeDocument/2006/relationships/hyperlink" Target="https://us.pandora.net/on/demandware.static/-/Sites-pandora-master-catalog/default/dwbb259ca6/productimages/singlepackshot/793976C01_RGB.png" TargetMode="External"/><Relationship Id="rId485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692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2166" Type="http://schemas.openxmlformats.org/officeDocument/2006/relationships/hyperlink" Target="https://us.pandora.net/on/demandware.static/-/Sites-pandora-master-catalog/default/dwbb259ca6/productimages/singlepackshot/563302C00_RGB.png" TargetMode="External"/><Relationship Id="rId2373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2580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3217" Type="http://schemas.openxmlformats.org/officeDocument/2006/relationships/hyperlink" Target="https://us.pandora.net/on/demandware.static/-/Sites-pandora-master-catalog/default/dwbb259ca6/productimages/singlepackshot/793200C01_RGB.png" TargetMode="External"/><Relationship Id="rId3424" Type="http://schemas.openxmlformats.org/officeDocument/2006/relationships/hyperlink" Target="https://us.pandora.net/on/demandware.static/-/Sites-pandora-master-catalog/default/dwbb259ca6/productimages/singlepackshot/797455_RGB.png" TargetMode="External"/><Relationship Id="rId138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345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52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997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1182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2026" Type="http://schemas.openxmlformats.org/officeDocument/2006/relationships/hyperlink" Target="https://us.pandora.net/on/demandware.static/-/Sites-pandora-master-catalog/default/dwbb259ca6/productimages/singlepackshot/387436C01_RGB.png" TargetMode="External"/><Relationship Id="rId2233" Type="http://schemas.openxmlformats.org/officeDocument/2006/relationships/hyperlink" Target="https://us.pandora.net/on/demandware.static/-/Sites-pandora-master-catalog/default/dwbb259ca6/productimages/singlepackshot/563864C00_RGB.png" TargetMode="External"/><Relationship Id="rId2440" Type="http://schemas.openxmlformats.org/officeDocument/2006/relationships/hyperlink" Target="https://us.pandora.net/on/demandware.static/-/Sites-pandora-master-catalog/default/dwbb259ca6/productimages/singlepackshot/590719_RGB.png" TargetMode="External"/><Relationship Id="rId2678" Type="http://schemas.openxmlformats.org/officeDocument/2006/relationships/hyperlink" Target="https://us.pandora.net/on/demandware.static/-/Sites-pandora-master-catalog/default/dwbb259ca6/productimages/singlepackshot/598498C01_RGB.png" TargetMode="External"/><Relationship Id="rId2885" Type="http://schemas.openxmlformats.org/officeDocument/2006/relationships/hyperlink" Target="https://us.pandora.net/on/demandware.static/-/Sites-pandora-master-catalog/default/dwbb259ca6/productimages/singlepackshot/763926C01_E002_RGB.png" TargetMode="External"/><Relationship Id="rId205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12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857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1042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487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1694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2300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2538" Type="http://schemas.openxmlformats.org/officeDocument/2006/relationships/hyperlink" Target="https://us.pandora.net/on/demandware.static/-/Sites-pandora-master-catalog/default/dwbb259ca6/productimages/singlepackshot/593001C01_RGB.png" TargetMode="External"/><Relationship Id="rId2745" Type="http://schemas.openxmlformats.org/officeDocument/2006/relationships/hyperlink" Target="https://us.pandora.net/on/demandware.static/-/Sites-pandora-master-catalog/default/dwbb259ca6/productimages/singlepackshot/599588C00_RGB.png" TargetMode="External"/><Relationship Id="rId2952" Type="http://schemas.openxmlformats.org/officeDocument/2006/relationships/hyperlink" Target="https://us.pandora.net/on/demandware.static/-/Sites-pandora-master-catalog/default/dwbb259ca6/productimages/singlepackshot/768747C01_RGB.png" TargetMode="External"/><Relationship Id="rId717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924" Type="http://schemas.openxmlformats.org/officeDocument/2006/relationships/hyperlink" Target="https://us.pandora.net/on/demandware.static/-/Sites-pandora-master-catalog/default/dwbb259ca6/productimages/singlepackshot/190980_RGB.png" TargetMode="External"/><Relationship Id="rId1347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1554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1761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1999" Type="http://schemas.openxmlformats.org/officeDocument/2006/relationships/hyperlink" Target="https://us.pandora.net/on/demandware.static/-/Sites-pandora-master-catalog/default/dwbb259ca6/productimages/singlepackshot/363881C00_RGB.png" TargetMode="External"/><Relationship Id="rId2605" Type="http://schemas.openxmlformats.org/officeDocument/2006/relationships/hyperlink" Target="https://us.pandora.net/on/demandware.static/-/Sites-pandora-master-catalog/default/dwbb259ca6/productimages/singlepackshot/593738C01_RGB.png" TargetMode="External"/><Relationship Id="rId2812" Type="http://schemas.openxmlformats.org/officeDocument/2006/relationships/hyperlink" Target="https://us.pandora.net/on/demandware.static/-/Sites-pandora-master-catalog/default/dwbb259ca6/productimages/singlepackshot/763066C01_RGB.png" TargetMode="External"/><Relationship Id="rId53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207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14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1621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1859" Type="http://schemas.openxmlformats.org/officeDocument/2006/relationships/hyperlink" Target="https://us.pandora.net/on/demandware.static/-/Sites-pandora-master-catalog/default/dwbb259ca6/productimages/singlepackshot/264264C01_RGB.png" TargetMode="External"/><Relationship Id="rId3074" Type="http://schemas.openxmlformats.org/officeDocument/2006/relationships/hyperlink" Target="https://us.pandora.net/on/demandware.static/-/Sites-pandora-master-catalog/default/dwbb259ca6/productimages/singlepackshot/791697C01_RGB.png" TargetMode="External"/><Relationship Id="rId1719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926" Type="http://schemas.openxmlformats.org/officeDocument/2006/relationships/hyperlink" Target="https://us.pandora.net/on/demandware.static/-/Sites-pandora-master-catalog/default/dwbb259ca6/productimages/singlepackshot/293169C01_RGB.png" TargetMode="External"/><Relationship Id="rId3281" Type="http://schemas.openxmlformats.org/officeDocument/2006/relationships/hyperlink" Target="https://us.pandora.net/on/demandware.static/-/Sites-pandora-master-catalog/default/dwbb259ca6/productimages/singlepackshot/793591C01_RGB.png" TargetMode="External"/><Relationship Id="rId3379" Type="http://schemas.openxmlformats.org/officeDocument/2006/relationships/hyperlink" Target="https://us.pandora.net/on/demandware.static/-/Sites-pandora-master-catalog/default/dwbb259ca6/productimages/singlepackshot/794085C01_RGB.png" TargetMode="External"/><Relationship Id="rId2090" Type="http://schemas.openxmlformats.org/officeDocument/2006/relationships/hyperlink" Target="https://us.pandora.net/on/demandware.static/-/Sites-pandora-master-catalog/default/dwbb259ca6/productimages/singlepackshot/394231C01_RGB.png" TargetMode="External"/><Relationship Id="rId2188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2395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3141" Type="http://schemas.openxmlformats.org/officeDocument/2006/relationships/hyperlink" Target="https://us.pandora.net/on/demandware.static/-/Sites-pandora-master-catalog/default/dwbb259ca6/productimages/singlepackshot/792587C01_RGB.png" TargetMode="External"/><Relationship Id="rId3239" Type="http://schemas.openxmlformats.org/officeDocument/2006/relationships/hyperlink" Target="https://us.pandora.net/on/demandware.static/-/Sites-pandora-master-catalog/default/dwbb259ca6/productimages/singlepackshot/793348C01_RGB.png" TargetMode="External"/><Relationship Id="rId3446" Type="http://schemas.openxmlformats.org/officeDocument/2006/relationships/hyperlink" Target="https://us.pandora.net/on/demandware.static/-/Sites-pandora-master-catalog/default/dwbb259ca6/productimages/singlepackshot/797477_RGB.png" TargetMode="External"/><Relationship Id="rId367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574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2048" Type="http://schemas.openxmlformats.org/officeDocument/2006/relationships/hyperlink" Target="https://us.pandora.net/on/demandware.static/-/Sites-pandora-master-catalog/default/dwbb259ca6/productimages/singlepackshot/393014C01_RGB.png" TargetMode="External"/><Relationship Id="rId2255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3001" Type="http://schemas.openxmlformats.org/officeDocument/2006/relationships/hyperlink" Target="https://us.pandora.net/on/demandware.static/-/Sites-pandora-master-catalog/default/dwbb259ca6/productimages/singlepackshot/788313_RGB.png" TargetMode="External"/><Relationship Id="rId227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781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879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2462" Type="http://schemas.openxmlformats.org/officeDocument/2006/relationships/hyperlink" Target="https://us.pandora.net/on/demandware.static/-/Sites-pandora-master-catalog/default/dwbb259ca6/productimages/singlepackshot/590742HV_RGB.png" TargetMode="External"/><Relationship Id="rId2767" Type="http://schemas.openxmlformats.org/officeDocument/2006/relationships/hyperlink" Target="https://us.pandora.net/on/demandware.static/-/Sites-pandora-master-catalog/default/dwbb259ca6/productimages/singlepackshot/760088C01_RGB.png" TargetMode="External"/><Relationship Id="rId3306" Type="http://schemas.openxmlformats.org/officeDocument/2006/relationships/hyperlink" Target="https://us.pandora.net/on/demandware.static/-/Sites-pandora-master-catalog/default/dwbb259ca6/productimages/singlepackshot/793739C01_RGB.png" TargetMode="External"/><Relationship Id="rId3513" Type="http://schemas.openxmlformats.org/officeDocument/2006/relationships/hyperlink" Target="https://us.pandora.net/on/demandware.static/-/Sites-pandora-master-catalog/default/dwbb259ca6/productimages/singlepackshot/798939C02_RGB.png" TargetMode="External"/><Relationship Id="rId434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641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739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1064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1271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1369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1576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2115" Type="http://schemas.openxmlformats.org/officeDocument/2006/relationships/hyperlink" Target="https://us.pandora.net/on/demandware.static/-/Sites-pandora-master-catalog/default/dwbb259ca6/productimages/singlepackshot/550702_RGB.png" TargetMode="External"/><Relationship Id="rId2322" Type="http://schemas.openxmlformats.org/officeDocument/2006/relationships/hyperlink" Target="https://us.pandora.net/on/demandware.static/-/Sites-pandora-master-catalog/default/dwbb259ca6/productimages/singlepackshot/580413_RGB.png" TargetMode="External"/><Relationship Id="rId2974" Type="http://schemas.openxmlformats.org/officeDocument/2006/relationships/hyperlink" Target="https://us.pandora.net/on/demandware.static/-/Sites-pandora-master-catalog/default/dwbb259ca6/productimages/singlepackshot/781817CZ_RGB.png" TargetMode="External"/><Relationship Id="rId501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946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131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229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1783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1990" Type="http://schemas.openxmlformats.org/officeDocument/2006/relationships/hyperlink" Target="https://us.pandora.net/on/demandware.static/-/Sites-pandora-master-catalog/default/dwbb259ca6/productimages/singlepackshot/363255C00_RGB.png" TargetMode="External"/><Relationship Id="rId2627" Type="http://schemas.openxmlformats.org/officeDocument/2006/relationships/hyperlink" Target="https://us.pandora.net/on/demandware.static/-/Sites-pandora-master-catalog/default/dwbb259ca6/productimages/singlepackshot/593854C00_RGB.png" TargetMode="External"/><Relationship Id="rId2834" Type="http://schemas.openxmlformats.org/officeDocument/2006/relationships/hyperlink" Target="https://us.pandora.net/on/demandware.static/-/Sites-pandora-master-catalog/default/dwbb259ca6/productimages/singlepackshot/763436C01_RGB.png" TargetMode="External"/><Relationship Id="rId75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806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436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643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850" Type="http://schemas.openxmlformats.org/officeDocument/2006/relationships/hyperlink" Target="https://us.pandora.net/on/demandware.static/-/Sites-pandora-master-catalog/default/dwbb259ca6/productimages/singlepackshot/263870C00_RGB.png" TargetMode="External"/><Relationship Id="rId2901" Type="http://schemas.openxmlformats.org/officeDocument/2006/relationships/hyperlink" Target="https://us.pandora.net/on/demandware.static/-/Sites-pandora-master-catalog/default/dwbb259ca6/productimages/singlepackshot/763962C00_RGB.png" TargetMode="External"/><Relationship Id="rId3096" Type="http://schemas.openxmlformats.org/officeDocument/2006/relationships/hyperlink" Target="https://us.pandora.net/on/demandware.static/-/Sites-pandora-master-catalog/default/dwbb259ca6/productimages/singlepackshot/792015_E040_RGB.png" TargetMode="External"/><Relationship Id="rId1503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1710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1948" Type="http://schemas.openxmlformats.org/officeDocument/2006/relationships/hyperlink" Target="https://us.pandora.net/on/demandware.static/-/Sites-pandora-master-catalog/default/dwbb259ca6/productimages/singlepackshot/293587C01_RGB.png" TargetMode="External"/><Relationship Id="rId3163" Type="http://schemas.openxmlformats.org/officeDocument/2006/relationships/hyperlink" Target="https://us.pandora.net/on/demandware.static/-/Sites-pandora-master-catalog/default/dwbb259ca6/productimages/singlepackshot/792754C01_RGB.png" TargetMode="External"/><Relationship Id="rId3370" Type="http://schemas.openxmlformats.org/officeDocument/2006/relationships/hyperlink" Target="https://us.pandora.net/on/demandware.static/-/Sites-pandora-master-catalog/default/dwbb259ca6/productimages/singlepackshot/794040C00_RGB.png" TargetMode="External"/><Relationship Id="rId291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1808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023" Type="http://schemas.openxmlformats.org/officeDocument/2006/relationships/hyperlink" Target="https://us.pandora.net/on/demandware.static/-/Sites-pandora-master-catalog/default/dwbb259ca6/productimages/singlepackshot/790024C01_RGB.png" TargetMode="External"/><Relationship Id="rId3468" Type="http://schemas.openxmlformats.org/officeDocument/2006/relationships/hyperlink" Target="https://us.pandora.net/on/demandware.static/-/Sites-pandora-master-catalog/default/dwbb259ca6/productimages/singlepackshot/798076CZ_RGB.png" TargetMode="External"/><Relationship Id="rId151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389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596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2277" Type="http://schemas.openxmlformats.org/officeDocument/2006/relationships/hyperlink" Target="https://us.pandora.net/on/demandware.static/-/Sites-pandora-master-catalog/default/dwbb259ca6/productimages/singlepackshot/568707C00_RGB.png" TargetMode="External"/><Relationship Id="rId2484" Type="http://schemas.openxmlformats.org/officeDocument/2006/relationships/hyperlink" Target="https://us.pandora.net/on/demandware.static/-/Sites-pandora-master-catalog/default/dwbb259ca6/productimages/singlepackshot/591469C01_RGB.png" TargetMode="External"/><Relationship Id="rId2691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3230" Type="http://schemas.openxmlformats.org/officeDocument/2006/relationships/hyperlink" Target="https://us.pandora.net/on/demandware.static/-/Sites-pandora-master-catalog/default/dwbb259ca6/productimages/singlepackshot/793337C02_RGB.png" TargetMode="External"/><Relationship Id="rId3328" Type="http://schemas.openxmlformats.org/officeDocument/2006/relationships/hyperlink" Target="https://us.pandora.net/on/demandware.static/-/Sites-pandora-master-catalog/default/dwbb259ca6/productimages/singlepackshot/793819C01_RGB.png" TargetMode="External"/><Relationship Id="rId3535" Type="http://schemas.openxmlformats.org/officeDocument/2006/relationships/hyperlink" Target="https://us.pandora.net/on/demandware.static/-/Sites-pandora-master-catalog/default/dwbb259ca6/productimages/singlepackshot/799352C01_RGB.png" TargetMode="External"/><Relationship Id="rId249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456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663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870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086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1293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2137" Type="http://schemas.openxmlformats.org/officeDocument/2006/relationships/hyperlink" Target="https://us.pandora.net/on/demandware.static/-/Sites-pandora-master-catalog/default/dwbb259ca6/productimages/singlepackshot/561469C03_RGB.png" TargetMode="External"/><Relationship Id="rId2344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1" Type="http://schemas.openxmlformats.org/officeDocument/2006/relationships/hyperlink" Target="https://us.pandora.net/on/demandware.static/-/Sites-pandora-master-catalog/default/dwbb259ca6/productimages/singlepackshot/593172C01_RGB.png" TargetMode="External"/><Relationship Id="rId2789" Type="http://schemas.openxmlformats.org/officeDocument/2006/relationships/hyperlink" Target="https://us.pandora.net/on/demandware.static/-/Sites-pandora-master-catalog/default/dwbb259ca6/productimages/singlepackshot/762710C01_RGB.png" TargetMode="External"/><Relationship Id="rId2996" Type="http://schemas.openxmlformats.org/officeDocument/2006/relationships/hyperlink" Target="https://us.pandora.net/on/demandware.static/-/Sites-pandora-master-catalog/default/dwbb259ca6/productimages/singlepackshot/786322CZ_RGB.png" TargetMode="External"/><Relationship Id="rId109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16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523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968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153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598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2204" Type="http://schemas.openxmlformats.org/officeDocument/2006/relationships/hyperlink" Target="https://us.pandora.net/on/demandware.static/-/Sites-pandora-master-catalog/default/dwbb259ca6/productimages/singlepackshot/563689C00_RGB.png" TargetMode="External"/><Relationship Id="rId2649" Type="http://schemas.openxmlformats.org/officeDocument/2006/relationships/hyperlink" Target="https://us.pandora.net/on/demandware.static/-/Sites-pandora-master-catalog/default/dwbb259ca6/productimages/singlepackshot/594234C01_RGB.png" TargetMode="External"/><Relationship Id="rId2856" Type="http://schemas.openxmlformats.org/officeDocument/2006/relationships/hyperlink" Target="https://us.pandora.net/on/demandware.static/-/Sites-pandora-master-catalog/default/dwbb259ca6/productimages/singlepackshot/763618C01_RGB.png" TargetMode="External"/><Relationship Id="rId97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730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828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1013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360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1458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1665" Type="http://schemas.openxmlformats.org/officeDocument/2006/relationships/hyperlink" Target="https://us.pandora.net/on/demandware.static/-/Sites-pandora-master-catalog/default/dwbb259ca6/productimages/singlepackshot/197681_RGB.png" TargetMode="External"/><Relationship Id="rId1872" Type="http://schemas.openxmlformats.org/officeDocument/2006/relationships/hyperlink" Target="https://us.pandora.net/on/demandware.static/-/Sites-pandora-master-catalog/default/dwbb259ca6/productimages/singlepackshot/286318CZ_RGB.png" TargetMode="External"/><Relationship Id="rId2411" Type="http://schemas.openxmlformats.org/officeDocument/2006/relationships/hyperlink" Target="https://us.pandora.net/on/demandware.static/-/Sites-pandora-master-catalog/default/dwbb259ca6/productimages/singlepackshot/590041C03_RGB.png" TargetMode="External"/><Relationship Id="rId2509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2716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1220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318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525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2923" Type="http://schemas.openxmlformats.org/officeDocument/2006/relationships/hyperlink" Target="https://us.pandora.net/on/demandware.static/-/Sites-pandora-master-catalog/default/dwbb259ca6/productimages/singlepackshot/764048C00_RGB.png" TargetMode="External"/><Relationship Id="rId1732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3185" Type="http://schemas.openxmlformats.org/officeDocument/2006/relationships/hyperlink" Target="https://us.pandora.net/on/demandware.static/-/Sites-pandora-master-catalog/default/dwbb259ca6/productimages/singlepackshot/793032C01_RGB.png" TargetMode="External"/><Relationship Id="rId3392" Type="http://schemas.openxmlformats.org/officeDocument/2006/relationships/hyperlink" Target="https://us.pandora.net/on/demandware.static/-/Sites-pandora-master-catalog/default/dwbb259ca6/productimages/singlepackshot/794209C01_RGB.png" TargetMode="External"/><Relationship Id="rId24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2299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3045" Type="http://schemas.openxmlformats.org/officeDocument/2006/relationships/hyperlink" Target="https://us.pandora.net/on/demandware.static/-/Sites-pandora-master-catalog/default/dwbb259ca6/productimages/singlepackshot/790800C00_RGB.png" TargetMode="External"/><Relationship Id="rId3252" Type="http://schemas.openxmlformats.org/officeDocument/2006/relationships/hyperlink" Target="https://us.pandora.net/on/demandware.static/-/Sites-pandora-master-catalog/default/dwbb259ca6/productimages/singlepackshot/793411C01_RGB.png" TargetMode="External"/><Relationship Id="rId173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380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2061" Type="http://schemas.openxmlformats.org/officeDocument/2006/relationships/hyperlink" Target="https://us.pandora.net/on/demandware.static/-/Sites-pandora-master-catalog/default/dwbb259ca6/productimages/singlepackshot/393272C00_RGB.png" TargetMode="External"/><Relationship Id="rId3112" Type="http://schemas.openxmlformats.org/officeDocument/2006/relationships/hyperlink" Target="https://us.pandora.net/on/demandware.static/-/Sites-pandora-master-catalog/default/dwbb259ca6/productimages/singlepackshot/792209C01_RGB.png" TargetMode="External"/><Relationship Id="rId240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478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685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892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2159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2366" Type="http://schemas.openxmlformats.org/officeDocument/2006/relationships/hyperlink" Target="https://us.pandora.net/on/demandware.static/-/Sites-pandora-master-catalog/default/dwbb259ca6/productimages/singlepackshot/587132_RGB.png" TargetMode="External"/><Relationship Id="rId2573" Type="http://schemas.openxmlformats.org/officeDocument/2006/relationships/hyperlink" Target="https://us.pandora.net/on/demandware.static/-/Sites-pandora-master-catalog/default/dwbb259ca6/productimages/singlepackshot/593539C01_RGB.png" TargetMode="External"/><Relationship Id="rId2780" Type="http://schemas.openxmlformats.org/officeDocument/2006/relationships/hyperlink" Target="https://us.pandora.net/on/demandware.static/-/Sites-pandora-master-catalog/default/dwbb259ca6/productimages/singlepackshot/762536C00_RGB.png" TargetMode="External"/><Relationship Id="rId3417" Type="http://schemas.openxmlformats.org/officeDocument/2006/relationships/hyperlink" Target="https://us.pandora.net/on/demandware.static/-/Sites-pandora-master-catalog/default/dwbb259ca6/productimages/singlepackshot/797012ENMX_RGB.png" TargetMode="External"/><Relationship Id="rId100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338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545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752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1175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1382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2019" Type="http://schemas.openxmlformats.org/officeDocument/2006/relationships/hyperlink" Target="https://us.pandora.net/on/demandware.static/-/Sites-pandora-master-catalog/default/dwbb259ca6/productimages/singlepackshot/380089C01_RGB.png" TargetMode="External"/><Relationship Id="rId2226" Type="http://schemas.openxmlformats.org/officeDocument/2006/relationships/hyperlink" Target="https://us.pandora.net/on/demandware.static/-/Sites-pandora-master-catalog/default/dwbb259ca6/productimages/singlepackshot/563829C00_RGB.png" TargetMode="External"/><Relationship Id="rId2433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2640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2878" Type="http://schemas.openxmlformats.org/officeDocument/2006/relationships/hyperlink" Target="https://us.pandora.net/on/demandware.static/-/Sites-pandora-master-catalog/default/dwbb259ca6/productimages/singlepackshot/763862C01_RGB.png" TargetMode="External"/><Relationship Id="rId405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612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1035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242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687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1894" Type="http://schemas.openxmlformats.org/officeDocument/2006/relationships/hyperlink" Target="https://us.pandora.net/on/demandware.static/-/Sites-pandora-master-catalog/default/dwbb259ca6/productimages/singlepackshot/292334C02_RGB.png" TargetMode="External"/><Relationship Id="rId2500" Type="http://schemas.openxmlformats.org/officeDocument/2006/relationships/hyperlink" Target="https://us.pandora.net/on/demandware.static/-/Sites-pandora-master-catalog/default/dwbb259ca6/productimages/singlepackshot/592324C01_RGB.png" TargetMode="External"/><Relationship Id="rId2738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2945" Type="http://schemas.openxmlformats.org/officeDocument/2006/relationships/hyperlink" Target="https://us.pandora.net/on/demandware.static/-/Sites-pandora-master-catalog/default/dwbb259ca6/productimages/singlepackshot/764275C01_RGB.png" TargetMode="External"/><Relationship Id="rId917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102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547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1754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1961" Type="http://schemas.openxmlformats.org/officeDocument/2006/relationships/hyperlink" Target="https://us.pandora.net/on/demandware.static/-/Sites-pandora-master-catalog/default/dwbb259ca6/productimages/singlepackshot/294230C01_RGB.png" TargetMode="External"/><Relationship Id="rId2805" Type="http://schemas.openxmlformats.org/officeDocument/2006/relationships/hyperlink" Target="https://us.pandora.net/on/demandware.static/-/Sites-pandora-master-catalog/default/dwbb259ca6/productimages/singlepackshot/762985C01_RGB.png" TargetMode="External"/><Relationship Id="rId46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407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1614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1821" Type="http://schemas.openxmlformats.org/officeDocument/2006/relationships/hyperlink" Target="https://us.pandora.net/on/demandware.static/-/Sites-pandora-master-catalog/default/dwbb259ca6/productimages/singlepackshot/263153C01_RGB.png" TargetMode="External"/><Relationship Id="rId3067" Type="http://schemas.openxmlformats.org/officeDocument/2006/relationships/hyperlink" Target="https://us.pandora.net/on/demandware.static/-/Sites-pandora-master-catalog/default/dwbb259ca6/productimages/singlepackshot/791688C01_RGB.png" TargetMode="External"/><Relationship Id="rId3274" Type="http://schemas.openxmlformats.org/officeDocument/2006/relationships/hyperlink" Target="https://us.pandora.net/on/demandware.static/-/Sites-pandora-master-catalog/default/dwbb259ca6/productimages/singlepackshot/793563C01_RGB.png" TargetMode="External"/><Relationship Id="rId195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1919" Type="http://schemas.openxmlformats.org/officeDocument/2006/relationships/hyperlink" Target="https://us.pandora.net/on/demandware.static/-/Sites-pandora-master-catalog/default/dwbb259ca6/productimages/singlepackshot/293097C01_RGB.png" TargetMode="External"/><Relationship Id="rId3481" Type="http://schemas.openxmlformats.org/officeDocument/2006/relationships/hyperlink" Target="https://us.pandora.net/on/demandware.static/-/Sites-pandora-master-catalog/default/dwbb259ca6/productimages/singlepackshot/798423C01_RGB.png" TargetMode="External"/><Relationship Id="rId2083" Type="http://schemas.openxmlformats.org/officeDocument/2006/relationships/hyperlink" Target="https://us.pandora.net/on/demandware.static/-/Sites-pandora-master-catalog/default/dwbb259ca6/productimages/singlepackshot/393899C00_RGB.png" TargetMode="External"/><Relationship Id="rId2290" Type="http://schemas.openxmlformats.org/officeDocument/2006/relationships/hyperlink" Target="https://us.pandora.net/on/demandware.static/-/Sites-pandora-master-catalog/default/dwbb259ca6/productimages/singlepackshot/569046C01_RGB.png" TargetMode="External"/><Relationship Id="rId2388" Type="http://schemas.openxmlformats.org/officeDocument/2006/relationships/hyperlink" Target="https://us.pandora.net/on/demandware.static/-/Sites-pandora-master-catalog/default/dwbb259ca6/productimages/singlepackshot/589662C00_RGB.png" TargetMode="External"/><Relationship Id="rId2595" Type="http://schemas.openxmlformats.org/officeDocument/2006/relationships/hyperlink" Target="https://us.pandora.net/on/demandware.static/-/Sites-pandora-master-catalog/default/dwbb259ca6/productimages/singlepackshot/593681C00_RGB.png" TargetMode="External"/><Relationship Id="rId3134" Type="http://schemas.openxmlformats.org/officeDocument/2006/relationships/hyperlink" Target="https://us.pandora.net/on/demandware.static/-/Sites-pandora-master-catalog/default/dwbb259ca6/productimages/singlepackshot/792522C01_RGB.png" TargetMode="External"/><Relationship Id="rId3341" Type="http://schemas.openxmlformats.org/officeDocument/2006/relationships/hyperlink" Target="https://us.pandora.net/on/demandware.static/-/Sites-pandora-master-catalog/default/dwbb259ca6/productimages/singlepackshot/793897C02_RGB.png" TargetMode="External"/><Relationship Id="rId3439" Type="http://schemas.openxmlformats.org/officeDocument/2006/relationships/hyperlink" Target="https://us.pandora.net/on/demandware.static/-/Sites-pandora-master-catalog/default/dwbb259ca6/productimages/singlepackshot/797470_RGB.png" TargetMode="External"/><Relationship Id="rId262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567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1197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150" Type="http://schemas.openxmlformats.org/officeDocument/2006/relationships/hyperlink" Target="https://us.pandora.net/on/demandware.static/-/Sites-pandora-master-catalog/default/dwbb259ca6/productimages/singlepackshot/562793C00_RGB.png" TargetMode="External"/><Relationship Id="rId2248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3201" Type="http://schemas.openxmlformats.org/officeDocument/2006/relationships/hyperlink" Target="https://us.pandora.net/on/demandware.static/-/Sites-pandora-master-catalog/default/dwbb259ca6/productimages/singlepackshot/793105C00_RGB.png" TargetMode="External"/><Relationship Id="rId122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774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981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1057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2010" Type="http://schemas.openxmlformats.org/officeDocument/2006/relationships/hyperlink" Target="https://us.pandora.net/on/demandware.static/-/Sites-pandora-master-catalog/default/dwbb259ca6/productimages/singlepackshot/368425C01_RGB.png" TargetMode="External"/><Relationship Id="rId2455" Type="http://schemas.openxmlformats.org/officeDocument/2006/relationships/hyperlink" Target="https://us.pandora.net/on/demandware.static/-/Sites-pandora-master-catalog/default/dwbb259ca6/productimages/singlepackshot/590728_RGB.png" TargetMode="External"/><Relationship Id="rId2662" Type="http://schemas.openxmlformats.org/officeDocument/2006/relationships/hyperlink" Target="https://us.pandora.net/on/demandware.static/-/Sites-pandora-master-catalog/default/dwbb259ca6/productimages/singlepackshot/596268_RGB.png" TargetMode="External"/><Relationship Id="rId3506" Type="http://schemas.openxmlformats.org/officeDocument/2006/relationships/hyperlink" Target="https://us.pandora.net/on/demandware.static/-/Sites-pandora-master-catalog/default/dwbb259ca6/productimages/singlepackshot/798888C01_RGB.png" TargetMode="External"/><Relationship Id="rId427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634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841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264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1471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1569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2108" Type="http://schemas.openxmlformats.org/officeDocument/2006/relationships/hyperlink" Target="https://us.pandora.net/on/demandware.static/-/Sites-pandora-master-catalog/default/dwbb259ca6/productimages/singlepackshot/399260C00_RGB.png" TargetMode="External"/><Relationship Id="rId2315" Type="http://schemas.openxmlformats.org/officeDocument/2006/relationships/hyperlink" Target="https://us.pandora.net/on/demandware.static/-/Sites-pandora-master-catalog/default/dwbb259ca6/productimages/singlepackshot/569662C00_RGB.png" TargetMode="External"/><Relationship Id="rId2522" Type="http://schemas.openxmlformats.org/officeDocument/2006/relationships/hyperlink" Target="https://us.pandora.net/on/demandware.static/-/Sites-pandora-master-catalog/default/dwbb259ca6/productimages/singlepackshot/592790C01_RGB.png" TargetMode="External"/><Relationship Id="rId2967" Type="http://schemas.openxmlformats.org/officeDocument/2006/relationships/hyperlink" Target="https://us.pandora.net/on/demandware.static/-/Sites-pandora-master-catalog/default/dwbb259ca6/productimages/singlepackshot/780112C01_RGB.png" TargetMode="External"/><Relationship Id="rId701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939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124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331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776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1983" Type="http://schemas.openxmlformats.org/officeDocument/2006/relationships/hyperlink" Target="https://us.pandora.net/on/demandware.static/-/Sites-pandora-master-catalog/default/dwbb259ca6/productimages/singlepackshot/362387C01_RGB.png" TargetMode="External"/><Relationship Id="rId2827" Type="http://schemas.openxmlformats.org/officeDocument/2006/relationships/hyperlink" Target="https://us.pandora.net/on/demandware.static/-/Sites-pandora-master-catalog/default/dwbb259ca6/productimages/singlepackshot/763388C01_RGB.png" TargetMode="External"/><Relationship Id="rId68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1429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1636" Type="http://schemas.openxmlformats.org/officeDocument/2006/relationships/hyperlink" Target="https://us.pandora.net/on/demandware.static/-/Sites-pandora-master-catalog/default/dwbb259ca6/productimages/singlepackshot/196314_RGB.png" TargetMode="External"/><Relationship Id="rId1843" Type="http://schemas.openxmlformats.org/officeDocument/2006/relationships/hyperlink" Target="https://us.pandora.net/on/demandware.static/-/Sites-pandora-master-catalog/default/dwbb259ca6/productimages/singlepackshot/263685C01_RGB.png" TargetMode="External"/><Relationship Id="rId3089" Type="http://schemas.openxmlformats.org/officeDocument/2006/relationships/hyperlink" Target="https://us.pandora.net/on/demandware.static/-/Sites-pandora-master-catalog/default/dwbb259ca6/productimages/singlepackshot/791972C01_RGB.png" TargetMode="External"/><Relationship Id="rId3296" Type="http://schemas.openxmlformats.org/officeDocument/2006/relationships/hyperlink" Target="https://us.pandora.net/on/demandware.static/-/Sites-pandora-master-catalog/default/dwbb259ca6/productimages/singlepackshot/793671C00_RGB.png" TargetMode="External"/><Relationship Id="rId1703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1910" Type="http://schemas.openxmlformats.org/officeDocument/2006/relationships/hyperlink" Target="https://us.pandora.net/on/demandware.static/-/Sites-pandora-master-catalog/default/dwbb259ca6/productimages/singlepackshot/292667C01_RGB.png" TargetMode="External"/><Relationship Id="rId3156" Type="http://schemas.openxmlformats.org/officeDocument/2006/relationships/hyperlink" Target="https://us.pandora.net/on/demandware.static/-/Sites-pandora-master-catalog/default/dwbb259ca6/productimages/singlepackshot/792703C01_RGB.png" TargetMode="External"/><Relationship Id="rId3363" Type="http://schemas.openxmlformats.org/officeDocument/2006/relationships/hyperlink" Target="https://us.pandora.net/on/demandware.static/-/Sites-pandora-master-catalog/default/dwbb259ca6/productimages/singlepackshot/793998C00_RGB.png" TargetMode="External"/><Relationship Id="rId284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491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2172" Type="http://schemas.openxmlformats.org/officeDocument/2006/relationships/hyperlink" Target="https://us.pandora.net/on/demandware.static/-/Sites-pandora-master-catalog/default/dwbb259ca6/productimages/singlepackshot/563317C00_RGB.png" TargetMode="External"/><Relationship Id="rId3016" Type="http://schemas.openxmlformats.org/officeDocument/2006/relationships/hyperlink" Target="https://us.pandora.net/on/demandware.static/-/Sites-pandora-master-catalog/default/dwbb259ca6/productimages/singlepackshot/789421C00_RGB.png" TargetMode="External"/><Relationship Id="rId3223" Type="http://schemas.openxmlformats.org/officeDocument/2006/relationships/hyperlink" Target="https://us.pandora.net/on/demandware.static/-/Sites-pandora-master-catalog/default/dwbb259ca6/productimages/singlepackshot/793232C01_RGB.png" TargetMode="External"/><Relationship Id="rId144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589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796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2477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2684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3430" Type="http://schemas.openxmlformats.org/officeDocument/2006/relationships/hyperlink" Target="https://us.pandora.net/on/demandware.static/-/Sites-pandora-master-catalog/default/dwbb259ca6/productimages/singlepackshot/797461_RGB.png" TargetMode="External"/><Relationship Id="rId3528" Type="http://schemas.openxmlformats.org/officeDocument/2006/relationships/hyperlink" Target="https://us.pandora.net/on/demandware.static/-/Sites-pandora-master-catalog/default/dwbb259ca6/productimages/singlepackshot/799218C01_RGB.png" TargetMode="External"/><Relationship Id="rId351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449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656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863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1079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1286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1493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2032" Type="http://schemas.openxmlformats.org/officeDocument/2006/relationships/hyperlink" Target="https://us.pandora.net/on/demandware.static/-/Sites-pandora-master-catalog/default/dwbb259ca6/productimages/singlepackshot/389483C01_RGB.png" TargetMode="External"/><Relationship Id="rId2337" Type="http://schemas.openxmlformats.org/officeDocument/2006/relationships/hyperlink" Target="https://us.pandora.net/on/demandware.static/-/Sites-pandora-master-catalog/default/dwbb259ca6/productimages/singlepackshot/581469C01_RGB.png" TargetMode="External"/><Relationship Id="rId2544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2891" Type="http://schemas.openxmlformats.org/officeDocument/2006/relationships/hyperlink" Target="https://us.pandora.net/on/demandware.static/-/Sites-pandora-master-catalog/default/dwbb259ca6/productimages/singlepackshot/763952C00_RGB.png" TargetMode="External"/><Relationship Id="rId2989" Type="http://schemas.openxmlformats.org/officeDocument/2006/relationships/hyperlink" Target="https://us.pandora.net/on/demandware.static/-/Sites-pandora-master-catalog/default/dwbb259ca6/productimages/singlepackshot/782820C01_RGB.png" TargetMode="External"/><Relationship Id="rId211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309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516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1146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798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2751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2849" Type="http://schemas.openxmlformats.org/officeDocument/2006/relationships/hyperlink" Target="https://us.pandora.net/on/demandware.static/-/Sites-pandora-master-catalog/default/dwbb259ca6/productimages/singlepackshot/763588C01_RGB.png" TargetMode="External"/><Relationship Id="rId723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930" Type="http://schemas.openxmlformats.org/officeDocument/2006/relationships/hyperlink" Target="https://us.pandora.net/on/demandware.static/-/Sites-pandora-master-catalog/default/dwbb259ca6/productimages/singlepackshot/191023CZ_RGB.png" TargetMode="External"/><Relationship Id="rId1006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353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1560" Type="http://schemas.openxmlformats.org/officeDocument/2006/relationships/hyperlink" Target="https://us.pandora.net/on/demandware.static/-/Sites-pandora-master-catalog/default/dwbb259ca6/productimages/singlepackshot/193988C00_RGB.png" TargetMode="External"/><Relationship Id="rId1658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1865" Type="http://schemas.openxmlformats.org/officeDocument/2006/relationships/hyperlink" Target="https://us.pandora.net/on/demandware.static/-/Sites-pandora-master-catalog/default/dwbb259ca6/productimages/singlepackshot/269532C00_RGB.png" TargetMode="External"/><Relationship Id="rId2404" Type="http://schemas.openxmlformats.org/officeDocument/2006/relationships/hyperlink" Target="https://us.pandora.net/on/demandware.static/-/Sites-pandora-master-catalog/default/dwbb259ca6/productimages/singlepackshot/590041C01_RGB.png" TargetMode="External"/><Relationship Id="rId2611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2709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1213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420" Type="http://schemas.openxmlformats.org/officeDocument/2006/relationships/hyperlink" Target="https://us.pandora.net/on/demandware.static/-/Sites-pandora-master-catalog/default/dwbb259ca6/productimages/singlepackshot/193556C01_RGB.png" TargetMode="External"/><Relationship Id="rId1518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2916" Type="http://schemas.openxmlformats.org/officeDocument/2006/relationships/hyperlink" Target="https://us.pandora.net/on/demandware.static/-/Sites-pandora-master-catalog/default/dwbb259ca6/productimages/singlepackshot/764018C01_RGB.png" TargetMode="External"/><Relationship Id="rId3080" Type="http://schemas.openxmlformats.org/officeDocument/2006/relationships/hyperlink" Target="https://us.pandora.net/on/demandware.static/-/Sites-pandora-master-catalog/default/dwbb259ca6/productimages/singlepackshot/791788_RGB.png" TargetMode="External"/><Relationship Id="rId1725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1932" Type="http://schemas.openxmlformats.org/officeDocument/2006/relationships/hyperlink" Target="https://us.pandora.net/on/demandware.static/-/Sites-pandora-master-catalog/default/dwbb259ca6/productimages/singlepackshot/293286C00_RGB.png" TargetMode="External"/><Relationship Id="rId3178" Type="http://schemas.openxmlformats.org/officeDocument/2006/relationships/hyperlink" Target="https://us.pandora.net/on/demandware.static/-/Sites-pandora-master-catalog/default/dwbb259ca6/productimages/singlepackshot/792980C01_RGB.png" TargetMode="External"/><Relationship Id="rId3385" Type="http://schemas.openxmlformats.org/officeDocument/2006/relationships/hyperlink" Target="https://us.pandora.net/on/demandware.static/-/Sites-pandora-master-catalog/default/dwbb259ca6/productimages/singlepackshot/794146C01_RGB.png" TargetMode="External"/><Relationship Id="rId17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2194" Type="http://schemas.openxmlformats.org/officeDocument/2006/relationships/hyperlink" Target="https://us.pandora.net/on/demandware.static/-/Sites-pandora-master-catalog/default/dwbb259ca6/productimages/singlepackshot/563580C01_RGB.png" TargetMode="External"/><Relationship Id="rId3038" Type="http://schemas.openxmlformats.org/officeDocument/2006/relationships/hyperlink" Target="https://us.pandora.net/on/demandware.static/-/Sites-pandora-master-catalog/default/dwbb259ca6/productimages/singlepackshot/790761C01_RGB.png" TargetMode="External"/><Relationship Id="rId3245" Type="http://schemas.openxmlformats.org/officeDocument/2006/relationships/hyperlink" Target="https://us.pandora.net/on/demandware.static/-/Sites-pandora-master-catalog/default/dwbb259ca6/productimages/singlepackshot/793360C01_RGB.png" TargetMode="External"/><Relationship Id="rId3452" Type="http://schemas.openxmlformats.org/officeDocument/2006/relationships/hyperlink" Target="https://us.pandora.net/on/demandware.static/-/Sites-pandora-master-catalog/default/dwbb259ca6/productimages/singlepackshot/797590_RGB.png" TargetMode="External"/><Relationship Id="rId166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373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580" Type="http://schemas.openxmlformats.org/officeDocument/2006/relationships/hyperlink" Target="https://us.pandora.net/on/demandware.static/-/Sites-pandora-master-catalog/default/dwbb259ca6/productimages/singlepackshot/169302C01_RGB.png" TargetMode="External"/><Relationship Id="rId2054" Type="http://schemas.openxmlformats.org/officeDocument/2006/relationships/hyperlink" Target="https://us.pandora.net/on/demandware.static/-/Sites-pandora-master-catalog/default/dwbb259ca6/productimages/singlepackshot/393160C01_RGB.png" TargetMode="External"/><Relationship Id="rId2261" Type="http://schemas.openxmlformats.org/officeDocument/2006/relationships/hyperlink" Target="https://us.pandora.net/on/demandware.static/-/Sites-pandora-master-catalog/default/dwbb259ca6/productimages/singlepackshot/564229C01_RGB.png" TargetMode="External"/><Relationship Id="rId2499" Type="http://schemas.openxmlformats.org/officeDocument/2006/relationships/hyperlink" Target="https://us.pandora.net/on/demandware.static/-/Sites-pandora-master-catalog/default/dwbb259ca6/productimages/singlepackshot/592313C01_RGB.png" TargetMode="External"/><Relationship Id="rId3105" Type="http://schemas.openxmlformats.org/officeDocument/2006/relationships/hyperlink" Target="https://us.pandora.net/on/demandware.static/-/Sites-pandora-master-catalog/default/dwbb259ca6/productimages/singlepackshot/792057CZ_RGB.png" TargetMode="External"/><Relationship Id="rId3312" Type="http://schemas.openxmlformats.org/officeDocument/2006/relationships/hyperlink" Target="https://us.pandora.net/on/demandware.static/-/Sites-pandora-master-catalog/default/dwbb259ca6/productimages/singlepackshot/793749C01_RGB.png" TargetMode="External"/><Relationship Id="rId1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33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440" Type="http://schemas.openxmlformats.org/officeDocument/2006/relationships/hyperlink" Target="https://us.pandora.net/on/demandware.static/-/Sites-pandora-master-catalog/default/dwbb259ca6/productimages/singlepackshot/163889C00_RGB.png" TargetMode="External"/><Relationship Id="rId678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885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1070" Type="http://schemas.openxmlformats.org/officeDocument/2006/relationships/hyperlink" Target="https://us.pandora.net/on/demandware.static/-/Sites-pandora-master-catalog/default/dwbb259ca6/productimages/singlepackshot/192634C01_RGB.png" TargetMode="External"/><Relationship Id="rId2121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359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2566" Type="http://schemas.openxmlformats.org/officeDocument/2006/relationships/hyperlink" Target="https://us.pandora.net/on/demandware.static/-/Sites-pandora-master-catalog/default/dwbb259ca6/productimages/singlepackshot/593363C00_RGB.png" TargetMode="External"/><Relationship Id="rId2773" Type="http://schemas.openxmlformats.org/officeDocument/2006/relationships/hyperlink" Target="https://us.pandora.net/on/demandware.static/-/Sites-pandora-master-catalog/default/dwbb259ca6/productimages/singlepackshot/761972C01_RGB.png" TargetMode="External"/><Relationship Id="rId2980" Type="http://schemas.openxmlformats.org/officeDocument/2006/relationships/hyperlink" Target="https://us.pandora.net/on/demandware.static/-/Sites-pandora-master-catalog/default/dwbb259ca6/productimages/singlepackshot/782244C00_RGB.png" TargetMode="External"/><Relationship Id="rId300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538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745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952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168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1375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1582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2219" Type="http://schemas.openxmlformats.org/officeDocument/2006/relationships/hyperlink" Target="https://us.pandora.net/on/demandware.static/-/Sites-pandora-master-catalog/default/dwbb259ca6/productimages/singlepackshot/563811C00_RGB.png" TargetMode="External"/><Relationship Id="rId2426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2633" Type="http://schemas.openxmlformats.org/officeDocument/2006/relationships/hyperlink" Target="https://us.pandora.net/on/demandware.static/-/Sites-pandora-master-catalog/default/dwbb259ca6/productimages/singlepackshot/594010C01_RGB.png" TargetMode="External"/><Relationship Id="rId81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605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812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028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235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442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887" Type="http://schemas.openxmlformats.org/officeDocument/2006/relationships/hyperlink" Target="https://us.pandora.net/on/demandware.static/-/Sites-pandora-master-catalog/default/dwbb259ca6/productimages/singlepackshot/290778C01_RGB.png" TargetMode="External"/><Relationship Id="rId2840" Type="http://schemas.openxmlformats.org/officeDocument/2006/relationships/hyperlink" Target="https://us.pandora.net/on/demandware.static/-/Sites-pandora-master-catalog/default/dwbb259ca6/productimages/singlepackshot/763462C05_RGB.png" TargetMode="External"/><Relationship Id="rId2938" Type="http://schemas.openxmlformats.org/officeDocument/2006/relationships/hyperlink" Target="https://us.pandora.net/on/demandware.static/-/Sites-pandora-master-catalog/default/dwbb259ca6/productimages/singlepackshot/764145C00_RGB.png" TargetMode="External"/><Relationship Id="rId1302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1747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1954" Type="http://schemas.openxmlformats.org/officeDocument/2006/relationships/hyperlink" Target="https://us.pandora.net/on/demandware.static/-/Sites-pandora-master-catalog/default/dwbb259ca6/productimages/singlepackshot/293774C01_RGB.png" TargetMode="External"/><Relationship Id="rId2700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39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607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1814" Type="http://schemas.openxmlformats.org/officeDocument/2006/relationships/hyperlink" Target="https://us.pandora.net/on/demandware.static/-/Sites-pandora-master-catalog/default/dwbb259ca6/productimages/singlepackshot/262738C01_RGB.png" TargetMode="External"/><Relationship Id="rId3267" Type="http://schemas.openxmlformats.org/officeDocument/2006/relationships/hyperlink" Target="https://us.pandora.net/on/demandware.static/-/Sites-pandora-master-catalog/default/dwbb259ca6/productimages/singlepackshot/793514C01_RGB.png" TargetMode="External"/><Relationship Id="rId188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395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2076" Type="http://schemas.openxmlformats.org/officeDocument/2006/relationships/hyperlink" Target="https://us.pandora.net/on/demandware.static/-/Sites-pandora-master-catalog/default/dwbb259ca6/productimages/singlepackshot/393682C00_RGB.png" TargetMode="External"/><Relationship Id="rId3474" Type="http://schemas.openxmlformats.org/officeDocument/2006/relationships/hyperlink" Target="https://us.pandora.net/on/demandware.static/-/Sites-pandora-master-catalog/default/dwbb259ca6/productimages/singlepackshot/798414C01_RGB.png" TargetMode="External"/><Relationship Id="rId2283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2490" Type="http://schemas.openxmlformats.org/officeDocument/2006/relationships/hyperlink" Target="https://us.pandora.net/on/demandware.static/-/Sites-pandora-master-catalog/default/dwbb259ca6/productimages/singlepackshot/591469C03_RGB.png" TargetMode="External"/><Relationship Id="rId2588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3127" Type="http://schemas.openxmlformats.org/officeDocument/2006/relationships/hyperlink" Target="https://us.pandora.net/on/demandware.static/-/Sites-pandora-master-catalog/default/dwbb259ca6/productimages/singlepackshot/792358C01_RGB.png" TargetMode="External"/><Relationship Id="rId3334" Type="http://schemas.openxmlformats.org/officeDocument/2006/relationships/hyperlink" Target="https://us.pandora.net/on/demandware.static/-/Sites-pandora-master-catalog/default/dwbb259ca6/productimages/singlepackshot/793855C01_RGB.png" TargetMode="External"/><Relationship Id="rId3541" Type="http://schemas.openxmlformats.org/officeDocument/2006/relationships/hyperlink" Target="https://us.pandora.net/on/demandware.static/-/Sites-pandora-master-catalog/default/dwbb259ca6/productimages/singlepackshot/799428C01_RGB.png" TargetMode="External"/><Relationship Id="rId255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462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1092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1397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143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2350" Type="http://schemas.openxmlformats.org/officeDocument/2006/relationships/hyperlink" Target="https://us.pandora.net/on/demandware.static/-/Sites-pandora-master-catalog/default/dwbb259ca6/productimages/singlepackshot/582731C00_RGB.png" TargetMode="External"/><Relationship Id="rId2795" Type="http://schemas.openxmlformats.org/officeDocument/2006/relationships/hyperlink" Target="https://us.pandora.net/on/demandware.static/-/Sites-pandora-master-catalog/default/dwbb259ca6/productimages/singlepackshot/762719C01_RGB.png" TargetMode="External"/><Relationship Id="rId3401" Type="http://schemas.openxmlformats.org/officeDocument/2006/relationships/hyperlink" Target="https://us.pandora.net/on/demandware.static/-/Sites-pandora-master-catalog/default/dwbb259ca6/productimages/singlepackshot/794244C01_RGB.png" TargetMode="External"/><Relationship Id="rId115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322" Type="http://schemas.openxmlformats.org/officeDocument/2006/relationships/hyperlink" Target="https://us.pandora.net/on/demandware.static/-/Sites-pandora-master-catalog/default/dwbb259ca6/productimages/singlepackshot/163653C01_RGB.png" TargetMode="External"/><Relationship Id="rId767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974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2003" Type="http://schemas.openxmlformats.org/officeDocument/2006/relationships/hyperlink" Target="https://us.pandora.net/on/demandware.static/-/Sites-pandora-master-catalog/default/dwbb259ca6/productimages/singlepackshot/364007C01_RGB.png" TargetMode="External"/><Relationship Id="rId2210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448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2655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2862" Type="http://schemas.openxmlformats.org/officeDocument/2006/relationships/hyperlink" Target="https://us.pandora.net/on/demandware.static/-/Sites-pandora-master-catalog/default/dwbb259ca6/productimages/singlepackshot/763678C00_RGB.png" TargetMode="External"/><Relationship Id="rId627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834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257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1464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1671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2308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2515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722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901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117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1324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1531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1769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1976" Type="http://schemas.openxmlformats.org/officeDocument/2006/relationships/hyperlink" Target="https://us.pandora.net/on/demandware.static/-/Sites-pandora-master-catalog/default/dwbb259ca6/productimages/singlepackshot/299532C00_RGB.png" TargetMode="External"/><Relationship Id="rId3191" Type="http://schemas.openxmlformats.org/officeDocument/2006/relationships/hyperlink" Target="https://us.pandora.net/on/demandware.static/-/Sites-pandora-master-catalog/default/dwbb259ca6/productimages/singlepackshot/793042C04_RGB.png" TargetMode="External"/><Relationship Id="rId30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1629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1836" Type="http://schemas.openxmlformats.org/officeDocument/2006/relationships/hyperlink" Target="https://us.pandora.net/on/demandware.static/-/Sites-pandora-master-catalog/default/dwbb259ca6/productimages/singlepackshot/263299C00_RGB.png" TargetMode="External"/><Relationship Id="rId3289" Type="http://schemas.openxmlformats.org/officeDocument/2006/relationships/hyperlink" Target="https://us.pandora.net/on/demandware.static/-/Sites-pandora-master-catalog/default/dwbb259ca6/productimages/singlepackshot/793603C01_RGB.png" TargetMode="External"/><Relationship Id="rId3496" Type="http://schemas.openxmlformats.org/officeDocument/2006/relationships/hyperlink" Target="https://us.pandora.net/on/demandware.static/-/Sites-pandora-master-catalog/default/dwbb259ca6/productimages/singlepackshot/798772C02_RGB.png" TargetMode="External"/><Relationship Id="rId1903" Type="http://schemas.openxmlformats.org/officeDocument/2006/relationships/hyperlink" Target="https://us.pandora.net/on/demandware.static/-/Sites-pandora-master-catalog/default/dwbb259ca6/productimages/singlepackshot/292335C02_RGB.png" TargetMode="External"/><Relationship Id="rId2098" Type="http://schemas.openxmlformats.org/officeDocument/2006/relationships/hyperlink" Target="https://us.pandora.net/on/demandware.static/-/Sites-pandora-master-catalog/default/dwbb259ca6/productimages/singlepackshot/397571CZ_RGB.png" TargetMode="External"/><Relationship Id="rId3051" Type="http://schemas.openxmlformats.org/officeDocument/2006/relationships/hyperlink" Target="https://us.pandora.net/on/demandware.static/-/Sites-pandora-master-catalog/default/dwbb259ca6/productimages/singlepackshot/791088_RGB.png" TargetMode="External"/><Relationship Id="rId3149" Type="http://schemas.openxmlformats.org/officeDocument/2006/relationships/hyperlink" Target="https://us.pandora.net/on/demandware.static/-/Sites-pandora-master-catalog/default/dwbb259ca6/productimages/singlepackshot/792654C01_RGB.png" TargetMode="External"/><Relationship Id="rId3356" Type="http://schemas.openxmlformats.org/officeDocument/2006/relationships/hyperlink" Target="https://us.pandora.net/on/demandware.static/-/Sites-pandora-master-catalog/default/dwbb259ca6/productimages/singlepackshot/793975C01_RGB.png" TargetMode="External"/><Relationship Id="rId277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484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2165" Type="http://schemas.openxmlformats.org/officeDocument/2006/relationships/hyperlink" Target="https://us.pandora.net/on/demandware.static/-/Sites-pandora-master-catalog/default/dwbb259ca6/productimages/singlepackshot/563302C00_RGB.png" TargetMode="External"/><Relationship Id="rId3009" Type="http://schemas.openxmlformats.org/officeDocument/2006/relationships/hyperlink" Target="https://us.pandora.net/on/demandware.static/-/Sites-pandora-master-catalog/default/dwbb259ca6/productimages/singlepackshot/788830C00_RGB.png" TargetMode="External"/><Relationship Id="rId3216" Type="http://schemas.openxmlformats.org/officeDocument/2006/relationships/hyperlink" Target="https://us.pandora.net/on/demandware.static/-/Sites-pandora-master-catalog/default/dwbb259ca6/productimages/singlepackshot/793189C01_RGB.png" TargetMode="External"/><Relationship Id="rId137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344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691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789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996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2025" Type="http://schemas.openxmlformats.org/officeDocument/2006/relationships/hyperlink" Target="https://us.pandora.net/on/demandware.static/-/Sites-pandora-master-catalog/default/dwbb259ca6/productimages/singlepackshot/382778C01_RGB.png" TargetMode="External"/><Relationship Id="rId2372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2677" Type="http://schemas.openxmlformats.org/officeDocument/2006/relationships/hyperlink" Target="https://us.pandora.net/on/demandware.static/-/Sites-pandora-master-catalog/default/dwbb259ca6/productimages/singlepackshot/598498C01_RGB.png" TargetMode="External"/><Relationship Id="rId2884" Type="http://schemas.openxmlformats.org/officeDocument/2006/relationships/hyperlink" Target="https://us.pandora.net/on/demandware.static/-/Sites-pandora-master-catalog/default/dwbb259ca6/productimages/singlepackshot/763915C01_RGB.png" TargetMode="External"/><Relationship Id="rId3423" Type="http://schemas.openxmlformats.org/officeDocument/2006/relationships/hyperlink" Target="https://us.pandora.net/on/demandware.static/-/Sites-pandora-master-catalog/default/dwbb259ca6/productimages/singlepackshot/797263CZ_RGB.png" TargetMode="External"/><Relationship Id="rId551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649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856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1181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1279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1486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2232" Type="http://schemas.openxmlformats.org/officeDocument/2006/relationships/hyperlink" Target="https://us.pandora.net/on/demandware.static/-/Sites-pandora-master-catalog/default/dwbb259ca6/productimages/singlepackshot/563864C00_RGB.png" TargetMode="External"/><Relationship Id="rId2537" Type="http://schemas.openxmlformats.org/officeDocument/2006/relationships/hyperlink" Target="https://us.pandora.net/on/demandware.static/-/Sites-pandora-master-catalog/default/dwbb259ca6/productimages/singlepackshot/593001C01_RGB.png" TargetMode="External"/><Relationship Id="rId204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11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509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1041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139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1346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1693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1998" Type="http://schemas.openxmlformats.org/officeDocument/2006/relationships/hyperlink" Target="https://us.pandora.net/on/demandware.static/-/Sites-pandora-master-catalog/default/dwbb259ca6/productimages/singlepackshot/363548C01_RGB.png" TargetMode="External"/><Relationship Id="rId2744" Type="http://schemas.openxmlformats.org/officeDocument/2006/relationships/hyperlink" Target="https://us.pandora.net/on/demandware.static/-/Sites-pandora-master-catalog/default/dwbb259ca6/productimages/singlepackshot/599588C00_RGB.png" TargetMode="External"/><Relationship Id="rId2951" Type="http://schemas.openxmlformats.org/officeDocument/2006/relationships/hyperlink" Target="https://us.pandora.net/on/demandware.static/-/Sites-pandora-master-catalog/default/dwbb259ca6/productimages/singlepackshot/768661C01_RGB.png" TargetMode="External"/><Relationship Id="rId716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923" Type="http://schemas.openxmlformats.org/officeDocument/2006/relationships/hyperlink" Target="https://us.pandora.net/on/demandware.static/-/Sites-pandora-master-catalog/default/dwbb259ca6/productimages/singlepackshot/190980_RGB.png" TargetMode="External"/><Relationship Id="rId1553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1760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1858" Type="http://schemas.openxmlformats.org/officeDocument/2006/relationships/hyperlink" Target="https://us.pandora.net/on/demandware.static/-/Sites-pandora-master-catalog/default/dwbb259ca6/productimages/singlepackshot/263880C00_RGB.png" TargetMode="External"/><Relationship Id="rId2604" Type="http://schemas.openxmlformats.org/officeDocument/2006/relationships/hyperlink" Target="https://us.pandora.net/on/demandware.static/-/Sites-pandora-master-catalog/default/dwbb259ca6/productimages/singlepackshot/593738C01_RGB.png" TargetMode="External"/><Relationship Id="rId2811" Type="http://schemas.openxmlformats.org/officeDocument/2006/relationships/hyperlink" Target="https://us.pandora.net/on/demandware.static/-/Sites-pandora-master-catalog/default/dwbb259ca6/productimages/singlepackshot/763055C00_RGB.png" TargetMode="External"/><Relationship Id="rId52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206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13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1620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2909" Type="http://schemas.openxmlformats.org/officeDocument/2006/relationships/hyperlink" Target="https://us.pandora.net/on/demandware.static/-/Sites-pandora-master-catalog/default/dwbb259ca6/productimages/singlepackshot/763970C00_RGB.png" TargetMode="External"/><Relationship Id="rId3073" Type="http://schemas.openxmlformats.org/officeDocument/2006/relationships/hyperlink" Target="https://us.pandora.net/on/demandware.static/-/Sites-pandora-master-catalog/default/dwbb259ca6/productimages/singlepackshot/791694C01_RGB.png" TargetMode="External"/><Relationship Id="rId3280" Type="http://schemas.openxmlformats.org/officeDocument/2006/relationships/hyperlink" Target="https://us.pandora.net/on/demandware.static/-/Sites-pandora-master-catalog/default/dwbb259ca6/productimages/singlepackshot/793589C01_RGB.png" TargetMode="External"/><Relationship Id="rId1718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925" Type="http://schemas.openxmlformats.org/officeDocument/2006/relationships/hyperlink" Target="https://us.pandora.net/on/demandware.static/-/Sites-pandora-master-catalog/default/dwbb259ca6/productimages/singlepackshot/293168C01_RGB.png" TargetMode="External"/><Relationship Id="rId3140" Type="http://schemas.openxmlformats.org/officeDocument/2006/relationships/hyperlink" Target="https://us.pandora.net/on/demandware.static/-/Sites-pandora-master-catalog/default/dwbb259ca6/productimages/singlepackshot/792577C00_RGB.png" TargetMode="External"/><Relationship Id="rId3378" Type="http://schemas.openxmlformats.org/officeDocument/2006/relationships/hyperlink" Target="https://us.pandora.net/on/demandware.static/-/Sites-pandora-master-catalog/default/dwbb259ca6/productimages/singlepackshot/794063C01_RGB.png" TargetMode="External"/><Relationship Id="rId299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2187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2394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3238" Type="http://schemas.openxmlformats.org/officeDocument/2006/relationships/hyperlink" Target="https://us.pandora.net/on/demandware.static/-/Sites-pandora-master-catalog/default/dwbb259ca6/productimages/singlepackshot/793345C01_RGB.png" TargetMode="External"/><Relationship Id="rId3445" Type="http://schemas.openxmlformats.org/officeDocument/2006/relationships/hyperlink" Target="https://us.pandora.net/on/demandware.static/-/Sites-pandora-master-catalog/default/dwbb259ca6/productimages/singlepackshot/797476_RGB.png" TargetMode="External"/><Relationship Id="rId159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366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573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780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2047" Type="http://schemas.openxmlformats.org/officeDocument/2006/relationships/hyperlink" Target="https://us.pandora.net/on/demandware.static/-/Sites-pandora-master-catalog/default/dwbb259ca6/productimages/singlepackshot/392991C01_RGB.png" TargetMode="External"/><Relationship Id="rId2254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2461" Type="http://schemas.openxmlformats.org/officeDocument/2006/relationships/hyperlink" Target="https://us.pandora.net/on/demandware.static/-/Sites-pandora-master-catalog/default/dwbb259ca6/productimages/singlepackshot/590742HV_RGB.png" TargetMode="External"/><Relationship Id="rId2699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3000" Type="http://schemas.openxmlformats.org/officeDocument/2006/relationships/hyperlink" Target="https://us.pandora.net/on/demandware.static/-/Sites-pandora-master-catalog/default/dwbb259ca6/productimages/singlepackshot/788255_RGB.png" TargetMode="External"/><Relationship Id="rId3305" Type="http://schemas.openxmlformats.org/officeDocument/2006/relationships/hyperlink" Target="https://us.pandora.net/on/demandware.static/-/Sites-pandora-master-catalog/default/dwbb259ca6/productimages/singlepackshot/793707C01_RGB.png" TargetMode="External"/><Relationship Id="rId3512" Type="http://schemas.openxmlformats.org/officeDocument/2006/relationships/hyperlink" Target="https://us.pandora.net/on/demandware.static/-/Sites-pandora-master-catalog/default/dwbb259ca6/productimages/singlepackshot/798939C01_RGB.png" TargetMode="External"/><Relationship Id="rId226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433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878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1063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1270" Type="http://schemas.openxmlformats.org/officeDocument/2006/relationships/hyperlink" Target="https://us.pandora.net/on/demandware.static/-/Sites-pandora-master-catalog/default/dwbb259ca6/productimages/singlepackshot/193149C01_RGB.png" TargetMode="External"/><Relationship Id="rId2114" Type="http://schemas.openxmlformats.org/officeDocument/2006/relationships/hyperlink" Target="https://us.pandora.net/on/demandware.static/-/Sites-pandora-master-catalog/default/dwbb259ca6/productimages/singlepackshot/399685C00_RGB.png" TargetMode="External"/><Relationship Id="rId2559" Type="http://schemas.openxmlformats.org/officeDocument/2006/relationships/hyperlink" Target="https://us.pandora.net/on/demandware.static/-/Sites-pandora-master-catalog/default/dwbb259ca6/productimages/singlepackshot/593317C00_RGB.png" TargetMode="External"/><Relationship Id="rId2766" Type="http://schemas.openxmlformats.org/officeDocument/2006/relationships/hyperlink" Target="https://us.pandora.net/on/demandware.static/-/Sites-pandora-master-catalog/default/dwbb259ca6/productimages/singlepackshot/760081C00_RGB.png" TargetMode="External"/><Relationship Id="rId2973" Type="http://schemas.openxmlformats.org/officeDocument/2006/relationships/hyperlink" Target="https://us.pandora.net/on/demandware.static/-/Sites-pandora-master-catalog/default/dwbb259ca6/productimages/singlepackshot/781728CZ_RGB.png" TargetMode="External"/><Relationship Id="rId640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738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945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368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1575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1782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2321" Type="http://schemas.openxmlformats.org/officeDocument/2006/relationships/hyperlink" Target="https://us.pandora.net/on/demandware.static/-/Sites-pandora-master-catalog/default/dwbb259ca6/productimages/singlepackshot/580041C01_RGB.png" TargetMode="External"/><Relationship Id="rId2419" Type="http://schemas.openxmlformats.org/officeDocument/2006/relationships/hyperlink" Target="https://us.pandora.net/on/demandware.static/-/Sites-pandora-master-catalog/default/dwbb259ca6/productimages/singlepackshot/590200_RGB.png" TargetMode="External"/><Relationship Id="rId2626" Type="http://schemas.openxmlformats.org/officeDocument/2006/relationships/hyperlink" Target="https://us.pandora.net/on/demandware.static/-/Sites-pandora-master-catalog/default/dwbb259ca6/productimages/singlepackshot/593854C00_RGB.png" TargetMode="External"/><Relationship Id="rId2833" Type="http://schemas.openxmlformats.org/officeDocument/2006/relationships/hyperlink" Target="https://us.pandora.net/on/demandware.static/-/Sites-pandora-master-catalog/default/dwbb259ca6/productimages/singlepackshot/763435C00_RGB.png" TargetMode="External"/><Relationship Id="rId74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500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805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130" Type="http://schemas.openxmlformats.org/officeDocument/2006/relationships/hyperlink" Target="https://us.pandora.net/on/demandware.static/-/Sites-pandora-master-catalog/default/dwbb259ca6/productimages/singlepackshot/192993C10_RGB.png" TargetMode="External"/><Relationship Id="rId1228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1435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1642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947" Type="http://schemas.openxmlformats.org/officeDocument/2006/relationships/hyperlink" Target="https://us.pandora.net/on/demandware.static/-/Sites-pandora-master-catalog/default/dwbb259ca6/productimages/singlepackshot/293551C02_RGB.png" TargetMode="External"/><Relationship Id="rId2900" Type="http://schemas.openxmlformats.org/officeDocument/2006/relationships/hyperlink" Target="https://us.pandora.net/on/demandware.static/-/Sites-pandora-master-catalog/default/dwbb259ca6/productimages/singlepackshot/763961C00_RGB.png" TargetMode="External"/><Relationship Id="rId3095" Type="http://schemas.openxmlformats.org/officeDocument/2006/relationships/hyperlink" Target="https://us.pandora.net/on/demandware.static/-/Sites-pandora-master-catalog/default/dwbb259ca6/productimages/singlepackshot/792015_E033_RGB.png" TargetMode="External"/><Relationship Id="rId1502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1807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162" Type="http://schemas.openxmlformats.org/officeDocument/2006/relationships/hyperlink" Target="https://us.pandora.net/on/demandware.static/-/Sites-pandora-master-catalog/default/dwbb259ca6/productimages/singlepackshot/792752C01_RGB.png" TargetMode="External"/><Relationship Id="rId290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388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2069" Type="http://schemas.openxmlformats.org/officeDocument/2006/relationships/hyperlink" Target="https://us.pandora.net/on/demandware.static/-/Sites-pandora-master-catalog/default/dwbb259ca6/productimages/singlepackshot/393549C01_RGB.png" TargetMode="External"/><Relationship Id="rId3022" Type="http://schemas.openxmlformats.org/officeDocument/2006/relationships/hyperlink" Target="https://us.pandora.net/on/demandware.static/-/Sites-pandora-master-catalog/default/dwbb259ca6/productimages/singlepackshot/790015C00_RGB.png" TargetMode="External"/><Relationship Id="rId3467" Type="http://schemas.openxmlformats.org/officeDocument/2006/relationships/hyperlink" Target="https://us.pandora.net/on/demandware.static/-/Sites-pandora-master-catalog/default/dwbb259ca6/productimages/singlepackshot/798064NMB_RGB.png" TargetMode="External"/><Relationship Id="rId150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595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2276" Type="http://schemas.openxmlformats.org/officeDocument/2006/relationships/hyperlink" Target="https://us.pandora.net/on/demandware.static/-/Sites-pandora-master-catalog/default/dwbb259ca6/productimages/singlepackshot/568707C00_RGB.png" TargetMode="External"/><Relationship Id="rId2483" Type="http://schemas.openxmlformats.org/officeDocument/2006/relationships/hyperlink" Target="https://us.pandora.net/on/demandware.static/-/Sites-pandora-master-catalog/default/dwbb259ca6/productimages/singlepackshot/591469C01_RGB.png" TargetMode="External"/><Relationship Id="rId2690" Type="http://schemas.openxmlformats.org/officeDocument/2006/relationships/hyperlink" Target="https://us.pandora.net/on/demandware.static/-/Sites-pandora-master-catalog/default/dwbb259ca6/productimages/singlepackshot/598827C01_RGB.png" TargetMode="External"/><Relationship Id="rId3327" Type="http://schemas.openxmlformats.org/officeDocument/2006/relationships/hyperlink" Target="https://us.pandora.net/on/demandware.static/-/Sites-pandora-master-catalog/default/dwbb259ca6/productimages/singlepackshot/793817C01_RGB.png" TargetMode="External"/><Relationship Id="rId3534" Type="http://schemas.openxmlformats.org/officeDocument/2006/relationships/hyperlink" Target="https://us.pandora.net/on/demandware.static/-/Sites-pandora-master-catalog/default/dwbb259ca6/productimages/singlepackshot/799322C01_RGB.png" TargetMode="External"/><Relationship Id="rId248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455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662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1085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1292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2136" Type="http://schemas.openxmlformats.org/officeDocument/2006/relationships/hyperlink" Target="https://us.pandora.net/on/demandware.static/-/Sites-pandora-master-catalog/default/dwbb259ca6/productimages/singlepackshot/561469C03_RGB.png" TargetMode="External"/><Relationship Id="rId2343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0" Type="http://schemas.openxmlformats.org/officeDocument/2006/relationships/hyperlink" Target="https://us.pandora.net/on/demandware.static/-/Sites-pandora-master-catalog/default/dwbb259ca6/productimages/singlepackshot/593090C00_RGB.png" TargetMode="External"/><Relationship Id="rId2788" Type="http://schemas.openxmlformats.org/officeDocument/2006/relationships/hyperlink" Target="https://us.pandora.net/on/demandware.static/-/Sites-pandora-master-catalog/default/dwbb259ca6/productimages/singlepackshot/762708C01_RGB.png" TargetMode="External"/><Relationship Id="rId2995" Type="http://schemas.openxmlformats.org/officeDocument/2006/relationships/hyperlink" Target="https://us.pandora.net/on/demandware.static/-/Sites-pandora-master-catalog/default/dwbb259ca6/productimages/singlepackshot/783250C01_RGB.png" TargetMode="External"/><Relationship Id="rId108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15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522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967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152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597" Type="http://schemas.openxmlformats.org/officeDocument/2006/relationships/hyperlink" Target="https://us.pandora.net/on/demandware.static/-/Sites-pandora-master-catalog/default/dwbb259ca6/productimages/singlepackshot/194269C02_RGB.png" TargetMode="External"/><Relationship Id="rId2203" Type="http://schemas.openxmlformats.org/officeDocument/2006/relationships/hyperlink" Target="https://us.pandora.net/on/demandware.static/-/Sites-pandora-master-catalog/default/dwbb259ca6/productimages/singlepackshot/563689C00_RGB.png" TargetMode="External"/><Relationship Id="rId2410" Type="http://schemas.openxmlformats.org/officeDocument/2006/relationships/hyperlink" Target="https://us.pandora.net/on/demandware.static/-/Sites-pandora-master-catalog/default/dwbb259ca6/productimages/singlepackshot/590041C03_RGB.png" TargetMode="External"/><Relationship Id="rId2648" Type="http://schemas.openxmlformats.org/officeDocument/2006/relationships/hyperlink" Target="https://us.pandora.net/on/demandware.static/-/Sites-pandora-master-catalog/default/dwbb259ca6/productimages/singlepackshot/594227C01_RGB.png" TargetMode="External"/><Relationship Id="rId2855" Type="http://schemas.openxmlformats.org/officeDocument/2006/relationships/hyperlink" Target="https://us.pandora.net/on/demandware.static/-/Sites-pandora-master-catalog/default/dwbb259ca6/productimages/singlepackshot/763617C01_RGB.png" TargetMode="External"/><Relationship Id="rId96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827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1012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457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1664" Type="http://schemas.openxmlformats.org/officeDocument/2006/relationships/hyperlink" Target="https://us.pandora.net/on/demandware.static/-/Sites-pandora-master-catalog/default/dwbb259ca6/productimages/singlepackshot/197681_RGB.png" TargetMode="External"/><Relationship Id="rId1871" Type="http://schemas.openxmlformats.org/officeDocument/2006/relationships/hyperlink" Target="https://us.pandora.net/on/demandware.static/-/Sites-pandora-master-catalog/default/dwbb259ca6/productimages/singlepackshot/286317C01_RGB.png" TargetMode="External"/><Relationship Id="rId2508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2715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2922" Type="http://schemas.openxmlformats.org/officeDocument/2006/relationships/hyperlink" Target="https://us.pandora.net/on/demandware.static/-/Sites-pandora-master-catalog/default/dwbb259ca6/productimages/singlepackshot/764047C00_RGB.png" TargetMode="External"/><Relationship Id="rId1317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524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1731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1969" Type="http://schemas.openxmlformats.org/officeDocument/2006/relationships/hyperlink" Target="https://us.pandora.net/on/demandware.static/-/Sites-pandora-master-catalog/default/dwbb259ca6/productimages/singlepackshot/298307C00_RGB.png" TargetMode="External"/><Relationship Id="rId3184" Type="http://schemas.openxmlformats.org/officeDocument/2006/relationships/hyperlink" Target="https://us.pandora.net/on/demandware.static/-/Sites-pandora-master-catalog/default/dwbb259ca6/productimages/singlepackshot/793031C01_RGB.png" TargetMode="External"/><Relationship Id="rId23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1829" Type="http://schemas.openxmlformats.org/officeDocument/2006/relationships/hyperlink" Target="https://us.pandora.net/on/demandware.static/-/Sites-pandora-master-catalog/default/dwbb259ca6/productimages/singlepackshot/263280C00_RGB.png" TargetMode="External"/><Relationship Id="rId3391" Type="http://schemas.openxmlformats.org/officeDocument/2006/relationships/hyperlink" Target="https://us.pandora.net/on/demandware.static/-/Sites-pandora-master-catalog/default/dwbb259ca6/productimages/singlepackshot/794161C09_RGB.png" TargetMode="External"/><Relationship Id="rId3489" Type="http://schemas.openxmlformats.org/officeDocument/2006/relationships/hyperlink" Target="https://us.pandora.net/on/demandware.static/-/Sites-pandora-master-catalog/default/dwbb259ca6/productimages/singlepackshot/798571C00_RGB.png" TargetMode="External"/><Relationship Id="rId2298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3044" Type="http://schemas.openxmlformats.org/officeDocument/2006/relationships/hyperlink" Target="https://us.pandora.net/on/demandware.static/-/Sites-pandora-master-catalog/default/dwbb259ca6/productimages/singlepackshot/790788C01_RGB.png" TargetMode="External"/><Relationship Id="rId3251" Type="http://schemas.openxmlformats.org/officeDocument/2006/relationships/hyperlink" Target="https://us.pandora.net/on/demandware.static/-/Sites-pandora-master-catalog/default/dwbb259ca6/productimages/singlepackshot/793404C01_RGB.png" TargetMode="External"/><Relationship Id="rId3349" Type="http://schemas.openxmlformats.org/officeDocument/2006/relationships/hyperlink" Target="https://us.pandora.net/on/demandware.static/-/Sites-pandora-master-catalog/default/dwbb259ca6/productimages/singlepackshot/793911C00_RGB.png" TargetMode="External"/><Relationship Id="rId3556" Type="http://schemas.openxmlformats.org/officeDocument/2006/relationships/hyperlink" Target="https://us.pandora.net/on/demandware.static/-/Sites-pandora-master-catalog/default/dwbb259ca6/productimages/singlepackshot/799660C02_RGB.png" TargetMode="External"/><Relationship Id="rId172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477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684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2060" Type="http://schemas.openxmlformats.org/officeDocument/2006/relationships/hyperlink" Target="https://us.pandora.net/on/demandware.static/-/Sites-pandora-master-catalog/default/dwbb259ca6/productimages/singlepackshot/393206C01_RGB.png" TargetMode="External"/><Relationship Id="rId2158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2365" Type="http://schemas.openxmlformats.org/officeDocument/2006/relationships/hyperlink" Target="https://us.pandora.net/on/demandware.static/-/Sites-pandora-master-catalog/default/dwbb259ca6/productimages/singlepackshot/587132_RGB.png" TargetMode="External"/><Relationship Id="rId3111" Type="http://schemas.openxmlformats.org/officeDocument/2006/relationships/hyperlink" Target="https://us.pandora.net/on/demandware.static/-/Sites-pandora-master-catalog/default/dwbb259ca6/productimages/singlepackshot/792201C01_RGB.png" TargetMode="External"/><Relationship Id="rId3209" Type="http://schemas.openxmlformats.org/officeDocument/2006/relationships/hyperlink" Target="https://us.pandora.net/on/demandware.static/-/Sites-pandora-master-catalog/default/dwbb259ca6/productimages/singlepackshot/793125C02_RGB.png" TargetMode="External"/><Relationship Id="rId337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891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989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2018" Type="http://schemas.openxmlformats.org/officeDocument/2006/relationships/hyperlink" Target="https://us.pandora.net/on/demandware.static/-/Sites-pandora-master-catalog/default/dwbb259ca6/productimages/singlepackshot/369685C00_RGB.png" TargetMode="External"/><Relationship Id="rId2572" Type="http://schemas.openxmlformats.org/officeDocument/2006/relationships/hyperlink" Target="https://us.pandora.net/on/demandware.static/-/Sites-pandora-master-catalog/default/dwbb259ca6/productimages/singlepackshot/593539C01_RGB.png" TargetMode="External"/><Relationship Id="rId2877" Type="http://schemas.openxmlformats.org/officeDocument/2006/relationships/hyperlink" Target="https://us.pandora.net/on/demandware.static/-/Sites-pandora-master-catalog/default/dwbb259ca6/productimages/singlepackshot/763859C01_RGB.png" TargetMode="External"/><Relationship Id="rId3416" Type="http://schemas.openxmlformats.org/officeDocument/2006/relationships/hyperlink" Target="https://us.pandora.net/on/demandware.static/-/Sites-pandora-master-catalog/default/dwbb259ca6/productimages/singlepackshot/796457CZ_RGB.png" TargetMode="External"/><Relationship Id="rId544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751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849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174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1381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1479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1686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2225" Type="http://schemas.openxmlformats.org/officeDocument/2006/relationships/hyperlink" Target="https://us.pandora.net/on/demandware.static/-/Sites-pandora-master-catalog/default/dwbb259ca6/productimages/singlepackshot/563829C00_RGB.png" TargetMode="External"/><Relationship Id="rId2432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404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611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1034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241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339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893" Type="http://schemas.openxmlformats.org/officeDocument/2006/relationships/hyperlink" Target="https://us.pandora.net/on/demandware.static/-/Sites-pandora-master-catalog/default/dwbb259ca6/productimages/singlepackshot/292334C01_RGB.png" TargetMode="External"/><Relationship Id="rId2737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2944" Type="http://schemas.openxmlformats.org/officeDocument/2006/relationships/hyperlink" Target="https://us.pandora.net/on/demandware.static/-/Sites-pandora-master-catalog/default/dwbb259ca6/productimages/singlepackshot/764248C01_RGB.png" TargetMode="External"/><Relationship Id="rId709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916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101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1546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1753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1960" Type="http://schemas.openxmlformats.org/officeDocument/2006/relationships/hyperlink" Target="https://us.pandora.net/on/demandware.static/-/Sites-pandora-master-catalog/default/dwbb259ca6/productimages/singlepackshot/293874C00_RGB.png" TargetMode="External"/><Relationship Id="rId2804" Type="http://schemas.openxmlformats.org/officeDocument/2006/relationships/hyperlink" Target="https://us.pandora.net/on/demandware.static/-/Sites-pandora-master-catalog/default/dwbb259ca6/productimages/singlepackshot/762825C01_RGB.png" TargetMode="External"/><Relationship Id="rId45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406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613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1820" Type="http://schemas.openxmlformats.org/officeDocument/2006/relationships/hyperlink" Target="https://us.pandora.net/on/demandware.static/-/Sites-pandora-master-catalog/default/dwbb259ca6/productimages/singlepackshot/263150C01_RGB.png" TargetMode="External"/><Relationship Id="rId3066" Type="http://schemas.openxmlformats.org/officeDocument/2006/relationships/hyperlink" Target="https://us.pandora.net/on/demandware.static/-/Sites-pandora-master-catalog/default/dwbb259ca6/productimages/singlepackshot/791681C01_RGB.png" TargetMode="External"/><Relationship Id="rId3273" Type="http://schemas.openxmlformats.org/officeDocument/2006/relationships/hyperlink" Target="https://us.pandora.net/on/demandware.static/-/Sites-pandora-master-catalog/default/dwbb259ca6/productimages/singlepackshot/793562C01_RGB.png" TargetMode="External"/><Relationship Id="rId3480" Type="http://schemas.openxmlformats.org/officeDocument/2006/relationships/hyperlink" Target="https://us.pandora.net/on/demandware.static/-/Sites-pandora-master-catalog/default/dwbb259ca6/productimages/singlepackshot/798422C01_RGB.png" TargetMode="External"/><Relationship Id="rId194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1918" Type="http://schemas.openxmlformats.org/officeDocument/2006/relationships/hyperlink" Target="https://us.pandora.net/on/demandware.static/-/Sites-pandora-master-catalog/default/dwbb259ca6/productimages/singlepackshot/293019C01_RGB.png" TargetMode="External"/><Relationship Id="rId2082" Type="http://schemas.openxmlformats.org/officeDocument/2006/relationships/hyperlink" Target="https://us.pandora.net/on/demandware.static/-/Sites-pandora-master-catalog/default/dwbb259ca6/productimages/singlepackshot/393861C00_RGB.png" TargetMode="External"/><Relationship Id="rId3133" Type="http://schemas.openxmlformats.org/officeDocument/2006/relationships/hyperlink" Target="https://us.pandora.net/on/demandware.static/-/Sites-pandora-master-catalog/default/dwbb259ca6/productimages/singlepackshot/792383C01_RGB.png" TargetMode="External"/><Relationship Id="rId261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499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2387" Type="http://schemas.openxmlformats.org/officeDocument/2006/relationships/hyperlink" Target="https://us.pandora.net/on/demandware.static/-/Sites-pandora-master-catalog/default/dwbb259ca6/productimages/singlepackshot/589652C01_RGB.png" TargetMode="External"/><Relationship Id="rId2594" Type="http://schemas.openxmlformats.org/officeDocument/2006/relationships/hyperlink" Target="https://us.pandora.net/on/demandware.static/-/Sites-pandora-master-catalog/default/dwbb259ca6/productimages/singlepackshot/593655C01_RGB.png" TargetMode="External"/><Relationship Id="rId3340" Type="http://schemas.openxmlformats.org/officeDocument/2006/relationships/hyperlink" Target="https://us.pandora.net/on/demandware.static/-/Sites-pandora-master-catalog/default/dwbb259ca6/productimages/singlepackshot/793897C01_RGB.png" TargetMode="External"/><Relationship Id="rId3438" Type="http://schemas.openxmlformats.org/officeDocument/2006/relationships/hyperlink" Target="https://us.pandora.net/on/demandware.static/-/Sites-pandora-master-catalog/default/dwbb259ca6/productimages/singlepackshot/797469_RGB.png" TargetMode="External"/><Relationship Id="rId359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566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773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1196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247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2454" Type="http://schemas.openxmlformats.org/officeDocument/2006/relationships/hyperlink" Target="https://us.pandora.net/on/demandware.static/-/Sites-pandora-master-catalog/default/dwbb259ca6/productimages/singlepackshot/590728_RGB.png" TargetMode="External"/><Relationship Id="rId2899" Type="http://schemas.openxmlformats.org/officeDocument/2006/relationships/hyperlink" Target="https://us.pandora.net/on/demandware.static/-/Sites-pandora-master-catalog/default/dwbb259ca6/productimages/singlepackshot/763960C00_RGB.png" TargetMode="External"/><Relationship Id="rId3200" Type="http://schemas.openxmlformats.org/officeDocument/2006/relationships/hyperlink" Target="https://us.pandora.net/on/demandware.static/-/Sites-pandora-master-catalog/default/dwbb259ca6/productimages/singlepackshot/793087C01_RGB.png" TargetMode="External"/><Relationship Id="rId3505" Type="http://schemas.openxmlformats.org/officeDocument/2006/relationships/hyperlink" Target="https://us.pandora.net/on/demandware.static/-/Sites-pandora-master-catalog/default/dwbb259ca6/productimages/singlepackshot/798887C01_RGB.png" TargetMode="External"/><Relationship Id="rId121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219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426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633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980" Type="http://schemas.openxmlformats.org/officeDocument/2006/relationships/hyperlink" Target="https://us.pandora.net/on/demandware.static/-/Sites-pandora-master-catalog/default/dwbb259ca6/productimages/singlepackshot/192312C01_RGB.png" TargetMode="External"/><Relationship Id="rId1056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1263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2107" Type="http://schemas.openxmlformats.org/officeDocument/2006/relationships/hyperlink" Target="https://us.pandora.net/on/demandware.static/-/Sites-pandora-master-catalog/default/dwbb259ca6/productimages/singlepackshot/398914C00_RGB.png" TargetMode="External"/><Relationship Id="rId2314" Type="http://schemas.openxmlformats.org/officeDocument/2006/relationships/hyperlink" Target="https://us.pandora.net/on/demandware.static/-/Sites-pandora-master-catalog/default/dwbb259ca6/productimages/singlepackshot/569662C00_RGB.png" TargetMode="External"/><Relationship Id="rId2661" Type="http://schemas.openxmlformats.org/officeDocument/2006/relationships/hyperlink" Target="https://us.pandora.net/on/demandware.static/-/Sites-pandora-master-catalog/default/dwbb259ca6/productimages/singlepackshot/594262C01_RGB.png" TargetMode="External"/><Relationship Id="rId2759" Type="http://schemas.openxmlformats.org/officeDocument/2006/relationships/hyperlink" Target="https://us.pandora.net/on/demandware.static/-/Sites-pandora-master-catalog/default/dwbb259ca6/productimages/singlepackshot/599662C00_RGB.png" TargetMode="External"/><Relationship Id="rId2966" Type="http://schemas.openxmlformats.org/officeDocument/2006/relationships/hyperlink" Target="https://us.pandora.net/on/demandware.static/-/Sites-pandora-master-catalog/default/dwbb259ca6/productimages/singlepackshot/780088C01_RGB.png" TargetMode="External"/><Relationship Id="rId840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938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470" Type="http://schemas.openxmlformats.org/officeDocument/2006/relationships/hyperlink" Target="https://us.pandora.net/on/demandware.static/-/Sites-pandora-master-catalog/default/dwbb259ca6/productimages/singlepackshot/193653C01_RGB.png" TargetMode="External"/><Relationship Id="rId1568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1775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2521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619" Type="http://schemas.openxmlformats.org/officeDocument/2006/relationships/hyperlink" Target="https://us.pandora.net/on/demandware.static/-/Sites-pandora-master-catalog/default/dwbb259ca6/productimages/singlepackshot/593853C00_RGB.png" TargetMode="External"/><Relationship Id="rId2826" Type="http://schemas.openxmlformats.org/officeDocument/2006/relationships/hyperlink" Target="https://us.pandora.net/on/demandware.static/-/Sites-pandora-master-catalog/default/dwbb259ca6/productimages/singlepackshot/763376C01_RGB.png" TargetMode="External"/><Relationship Id="rId67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700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1123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330" Type="http://schemas.openxmlformats.org/officeDocument/2006/relationships/hyperlink" Target="https://us.pandora.net/on/demandware.static/-/Sites-pandora-master-catalog/default/dwbb259ca6/productimages/singlepackshot/193322C01_RGB.png" TargetMode="External"/><Relationship Id="rId1428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635" Type="http://schemas.openxmlformats.org/officeDocument/2006/relationships/hyperlink" Target="https://us.pandora.net/on/demandware.static/-/Sites-pandora-master-catalog/default/dwbb259ca6/productimages/singlepackshot/196314_RGB.png" TargetMode="External"/><Relationship Id="rId1982" Type="http://schemas.openxmlformats.org/officeDocument/2006/relationships/hyperlink" Target="https://us.pandora.net/on/demandware.static/-/Sites-pandora-master-catalog/default/dwbb259ca6/productimages/singlepackshot/362302C01_RGB.png" TargetMode="External"/><Relationship Id="rId3088" Type="http://schemas.openxmlformats.org/officeDocument/2006/relationships/hyperlink" Target="https://us.pandora.net/on/demandware.static/-/Sites-pandora-master-catalog/default/dwbb259ca6/productimages/singlepackshot/791948CZ_RGB.png" TargetMode="External"/><Relationship Id="rId1842" Type="http://schemas.openxmlformats.org/officeDocument/2006/relationships/hyperlink" Target="https://us.pandora.net/on/demandware.static/-/Sites-pandora-master-catalog/default/dwbb259ca6/productimages/singlepackshot/263656C01_RGB.png" TargetMode="External"/><Relationship Id="rId3295" Type="http://schemas.openxmlformats.org/officeDocument/2006/relationships/hyperlink" Target="https://us.pandora.net/on/demandware.static/-/Sites-pandora-master-catalog/default/dwbb259ca6/productimages/singlepackshot/793667C01_RGB.png" TargetMode="External"/><Relationship Id="rId1702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3155" Type="http://schemas.openxmlformats.org/officeDocument/2006/relationships/hyperlink" Target="https://us.pandora.net/on/demandware.static/-/Sites-pandora-master-catalog/default/dwbb259ca6/productimages/singlepackshot/792701C01_RGB.png" TargetMode="External"/><Relationship Id="rId3362" Type="http://schemas.openxmlformats.org/officeDocument/2006/relationships/hyperlink" Target="https://us.pandora.net/on/demandware.static/-/Sites-pandora-master-catalog/default/dwbb259ca6/productimages/singlepackshot/793994C00_RGB.png" TargetMode="External"/><Relationship Id="rId283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490" Type="http://schemas.openxmlformats.org/officeDocument/2006/relationships/hyperlink" Target="https://us.pandora.net/on/demandware.static/-/Sites-pandora-master-catalog/default/dwbb259ca6/productimages/singlepackshot/164270C01_RGB.png" TargetMode="External"/><Relationship Id="rId2171" Type="http://schemas.openxmlformats.org/officeDocument/2006/relationships/hyperlink" Target="https://us.pandora.net/on/demandware.static/-/Sites-pandora-master-catalog/default/dwbb259ca6/productimages/singlepackshot/563317C00_RGB.png" TargetMode="External"/><Relationship Id="rId3015" Type="http://schemas.openxmlformats.org/officeDocument/2006/relationships/hyperlink" Target="https://us.pandora.net/on/demandware.static/-/Sites-pandora-master-catalog/default/dwbb259ca6/productimages/singlepackshot/789372C00_RGB.png" TargetMode="External"/><Relationship Id="rId3222" Type="http://schemas.openxmlformats.org/officeDocument/2006/relationships/hyperlink" Target="https://us.pandora.net/on/demandware.static/-/Sites-pandora-master-catalog/default/dwbb259ca6/productimages/singlepackshot/793213C00_RGB.png" TargetMode="External"/><Relationship Id="rId143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350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88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795" Type="http://schemas.openxmlformats.org/officeDocument/2006/relationships/hyperlink" Target="https://us.pandora.net/on/demandware.static/-/Sites-pandora-master-catalog/default/dwbb259ca6/productimages/singlepackshot/189302C01_RGB.png" TargetMode="External"/><Relationship Id="rId2031" Type="http://schemas.openxmlformats.org/officeDocument/2006/relationships/hyperlink" Target="https://us.pandora.net/on/demandware.static/-/Sites-pandora-master-catalog/default/dwbb259ca6/productimages/singlepackshot/388914C00_RGB.png" TargetMode="External"/><Relationship Id="rId2269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2476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2683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2890" Type="http://schemas.openxmlformats.org/officeDocument/2006/relationships/hyperlink" Target="https://us.pandora.net/on/demandware.static/-/Sites-pandora-master-catalog/default/dwbb259ca6/productimages/singlepackshot/763951C00_RGB.png" TargetMode="External"/><Relationship Id="rId3527" Type="http://schemas.openxmlformats.org/officeDocument/2006/relationships/hyperlink" Target="https://us.pandora.net/on/demandware.static/-/Sites-pandora-master-catalog/default/dwbb259ca6/productimages/singlepackshot/799212C01_RGB.png" TargetMode="External"/><Relationship Id="rId9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10" Type="http://schemas.openxmlformats.org/officeDocument/2006/relationships/hyperlink" Target="https://us.pandora.net/on/demandware.static/-/Sites-pandora-master-catalog/default/dwbb259ca6/productimages/singlepackshot/163293C01_RGB.png" TargetMode="External"/><Relationship Id="rId448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655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862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1078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1285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1492" Type="http://schemas.openxmlformats.org/officeDocument/2006/relationships/hyperlink" Target="https://us.pandora.net/on/demandware.static/-/Sites-pandora-master-catalog/default/dwbb259ca6/productimages/singlepackshot/193662C01_RGB.png" TargetMode="External"/><Relationship Id="rId2129" Type="http://schemas.openxmlformats.org/officeDocument/2006/relationships/hyperlink" Target="https://us.pandora.net/on/demandware.static/-/Sites-pandora-master-catalog/default/dwbb259ca6/productimages/singlepackshot/560041C01_RGB.png" TargetMode="External"/><Relationship Id="rId2336" Type="http://schemas.openxmlformats.org/officeDocument/2006/relationships/hyperlink" Target="https://us.pandora.net/on/demandware.static/-/Sites-pandora-master-catalog/default/dwbb259ca6/productimages/singlepackshot/580728_RGB.png" TargetMode="External"/><Relationship Id="rId2543" Type="http://schemas.openxmlformats.org/officeDocument/2006/relationships/hyperlink" Target="https://us.pandora.net/on/demandware.static/-/Sites-pandora-master-catalog/default/dwbb259ca6/productimages/singlepackshot/593061C00_RGB.png" TargetMode="External"/><Relationship Id="rId2750" Type="http://schemas.openxmlformats.org/officeDocument/2006/relationships/hyperlink" Target="https://us.pandora.net/on/demandware.static/-/Sites-pandora-master-catalog/default/dwbb259ca6/productimages/singlepackshot/599639C01_RGB.png" TargetMode="External"/><Relationship Id="rId2988" Type="http://schemas.openxmlformats.org/officeDocument/2006/relationships/hyperlink" Target="https://us.pandora.net/on/demandware.static/-/Sites-pandora-master-catalog/default/dwbb259ca6/productimages/singlepackshot/782816C01_RGB.png" TargetMode="External"/><Relationship Id="rId308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515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722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1145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52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1797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2403" Type="http://schemas.openxmlformats.org/officeDocument/2006/relationships/hyperlink" Target="https://us.pandora.net/on/demandware.static/-/Sites-pandora-master-catalog/default/dwbb259ca6/productimages/singlepackshot/590041C01_RGB.png" TargetMode="External"/><Relationship Id="rId2848" Type="http://schemas.openxmlformats.org/officeDocument/2006/relationships/hyperlink" Target="https://us.pandora.net/on/demandware.static/-/Sites-pandora-master-catalog/default/dwbb259ca6/productimages/singlepackshot/763585C01_RGB.png" TargetMode="External"/><Relationship Id="rId89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1005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212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657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1864" Type="http://schemas.openxmlformats.org/officeDocument/2006/relationships/hyperlink" Target="https://us.pandora.net/on/demandware.static/-/Sites-pandora-master-catalog/default/dwbb259ca6/productimages/singlepackshot/268820C01_RGB.png" TargetMode="External"/><Relationship Id="rId2610" Type="http://schemas.openxmlformats.org/officeDocument/2006/relationships/hyperlink" Target="https://us.pandora.net/on/demandware.static/-/Sites-pandora-master-catalog/default/dwbb259ca6/productimages/singlepackshot/593757C00_RGB.png" TargetMode="External"/><Relationship Id="rId2708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2915" Type="http://schemas.openxmlformats.org/officeDocument/2006/relationships/hyperlink" Target="https://us.pandora.net/on/demandware.static/-/Sites-pandora-master-catalog/default/dwbb259ca6/productimages/singlepackshot/764000C00_RGB.png" TargetMode="External"/><Relationship Id="rId1517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1724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3177" Type="http://schemas.openxmlformats.org/officeDocument/2006/relationships/hyperlink" Target="https://us.pandora.net/on/demandware.static/-/Sites-pandora-master-catalog/default/dwbb259ca6/productimages/singlepackshot/792979C01_RGB.png" TargetMode="External"/><Relationship Id="rId16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1931" Type="http://schemas.openxmlformats.org/officeDocument/2006/relationships/hyperlink" Target="https://us.pandora.net/on/demandware.static/-/Sites-pandora-master-catalog/default/dwbb259ca6/productimages/singlepackshot/293276C01_RGB.png" TargetMode="External"/><Relationship Id="rId3037" Type="http://schemas.openxmlformats.org/officeDocument/2006/relationships/hyperlink" Target="https://us.pandora.net/on/demandware.static/-/Sites-pandora-master-catalog/default/dwbb259ca6/productimages/singlepackshot/790757C01_RGB.png" TargetMode="External"/><Relationship Id="rId3384" Type="http://schemas.openxmlformats.org/officeDocument/2006/relationships/hyperlink" Target="https://us.pandora.net/on/demandware.static/-/Sites-pandora-master-catalog/default/dwbb259ca6/productimages/singlepackshot/794143C01_RGB.png" TargetMode="External"/><Relationship Id="rId2193" Type="http://schemas.openxmlformats.org/officeDocument/2006/relationships/hyperlink" Target="https://us.pandora.net/on/demandware.static/-/Sites-pandora-master-catalog/default/dwbb259ca6/productimages/singlepackshot/563539C01_RGB.png" TargetMode="External"/><Relationship Id="rId2498" Type="http://schemas.openxmlformats.org/officeDocument/2006/relationships/hyperlink" Target="https://us.pandora.net/on/demandware.static/-/Sites-pandora-master-catalog/default/dwbb259ca6/productimages/singlepackshot/592313C01_RGB.png" TargetMode="External"/><Relationship Id="rId3244" Type="http://schemas.openxmlformats.org/officeDocument/2006/relationships/hyperlink" Target="https://us.pandora.net/on/demandware.static/-/Sites-pandora-master-catalog/default/dwbb259ca6/productimages/singlepackshot/793359C01_RGB.png" TargetMode="External"/><Relationship Id="rId3451" Type="http://schemas.openxmlformats.org/officeDocument/2006/relationships/hyperlink" Target="https://us.pandora.net/on/demandware.static/-/Sites-pandora-master-catalog/default/dwbb259ca6/productimages/singlepackshot/797523ENMX_RGB.png" TargetMode="External"/><Relationship Id="rId3549" Type="http://schemas.openxmlformats.org/officeDocument/2006/relationships/hyperlink" Target="https://us.pandora.net/on/demandware.static/-/Sites-pandora-master-catalog/default/dwbb259ca6/productimages/singlepackshot/799545C01_RGB.png" TargetMode="External"/><Relationship Id="rId165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372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677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2053" Type="http://schemas.openxmlformats.org/officeDocument/2006/relationships/hyperlink" Target="https://us.pandora.net/on/demandware.static/-/Sites-pandora-master-catalog/default/dwbb259ca6/productimages/singlepackshot/393099C01_RGB.png" TargetMode="External"/><Relationship Id="rId2260" Type="http://schemas.openxmlformats.org/officeDocument/2006/relationships/hyperlink" Target="https://us.pandora.net/on/demandware.static/-/Sites-pandora-master-catalog/default/dwbb259ca6/productimages/singlepackshot/564229C01_RGB.png" TargetMode="External"/><Relationship Id="rId2358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3104" Type="http://schemas.openxmlformats.org/officeDocument/2006/relationships/hyperlink" Target="https://us.pandora.net/on/demandware.static/-/Sites-pandora-master-catalog/default/dwbb259ca6/productimages/singlepackshot/792031C01_RGB.png" TargetMode="External"/><Relationship Id="rId3311" Type="http://schemas.openxmlformats.org/officeDocument/2006/relationships/hyperlink" Target="https://us.pandora.net/on/demandware.static/-/Sites-pandora-master-catalog/default/dwbb259ca6/productimages/singlepackshot/793748C01_RGB.png" TargetMode="External"/><Relationship Id="rId232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884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2120" Type="http://schemas.openxmlformats.org/officeDocument/2006/relationships/hyperlink" Target="https://us.pandora.net/on/demandware.static/-/Sites-pandora-master-catalog/default/dwbb259ca6/productimages/singlepackshot/559539C00_RGB.png" TargetMode="External"/><Relationship Id="rId2565" Type="http://schemas.openxmlformats.org/officeDocument/2006/relationships/hyperlink" Target="https://us.pandora.net/on/demandware.static/-/Sites-pandora-master-catalog/default/dwbb259ca6/productimages/singlepackshot/593363C00_RGB.png" TargetMode="External"/><Relationship Id="rId2772" Type="http://schemas.openxmlformats.org/officeDocument/2006/relationships/hyperlink" Target="https://us.pandora.net/on/demandware.static/-/Sites-pandora-master-catalog/default/dwbb259ca6/productimages/singlepackshot/761892C00_RGB.png" TargetMode="External"/><Relationship Id="rId3409" Type="http://schemas.openxmlformats.org/officeDocument/2006/relationships/hyperlink" Target="https://us.pandora.net/on/demandware.static/-/Sites-pandora-master-catalog/default/dwbb259ca6/productimages/singlepackshot/794253C01_RGB.png" TargetMode="External"/><Relationship Id="rId537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744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951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167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1374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1581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1679" Type="http://schemas.openxmlformats.org/officeDocument/2006/relationships/hyperlink" Target="https://us.pandora.net/on/demandware.static/-/Sites-pandora-master-catalog/default/dwbb259ca6/productimages/singlepackshot/198018_RGB.png" TargetMode="External"/><Relationship Id="rId2218" Type="http://schemas.openxmlformats.org/officeDocument/2006/relationships/hyperlink" Target="https://us.pandora.net/on/demandware.static/-/Sites-pandora-master-catalog/default/dwbb259ca6/productimages/singlepackshot/563811C00_RGB.png" TargetMode="External"/><Relationship Id="rId2425" Type="http://schemas.openxmlformats.org/officeDocument/2006/relationships/hyperlink" Target="https://us.pandora.net/on/demandware.static/-/Sites-pandora-master-catalog/default/dwbb259ca6/productimages/singlepackshot/590515_RGB.png" TargetMode="External"/><Relationship Id="rId2632" Type="http://schemas.openxmlformats.org/officeDocument/2006/relationships/hyperlink" Target="https://us.pandora.net/on/demandware.static/-/Sites-pandora-master-catalog/default/dwbb259ca6/productimages/singlepackshot/593927C01_RGB.png" TargetMode="External"/><Relationship Id="rId80" Type="http://schemas.openxmlformats.org/officeDocument/2006/relationships/hyperlink" Target="https://us.pandora.net/on/demandware.static/-/Sites-pandora-master-catalog/default/dwbb259ca6/productimages/singlepackshot/162634C01_RGB.png" TargetMode="External"/><Relationship Id="rId604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811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027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234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1441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886" Type="http://schemas.openxmlformats.org/officeDocument/2006/relationships/hyperlink" Target="https://us.pandora.net/on/demandware.static/-/Sites-pandora-master-catalog/default/dwbb259ca6/productimages/singlepackshot/290744CZ_RGB.png" TargetMode="External"/><Relationship Id="rId2937" Type="http://schemas.openxmlformats.org/officeDocument/2006/relationships/hyperlink" Target="https://us.pandora.net/on/demandware.static/-/Sites-pandora-master-catalog/default/dwbb259ca6/productimages/singlepackshot/764141C01_RGB.png" TargetMode="External"/><Relationship Id="rId909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301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1539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1746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1953" Type="http://schemas.openxmlformats.org/officeDocument/2006/relationships/hyperlink" Target="https://us.pandora.net/on/demandware.static/-/Sites-pandora-master-catalog/default/dwbb259ca6/productimages/singlepackshot/293761C01_RGB.png" TargetMode="External"/><Relationship Id="rId3199" Type="http://schemas.openxmlformats.org/officeDocument/2006/relationships/hyperlink" Target="https://us.pandora.net/on/demandware.static/-/Sites-pandora-master-catalog/default/dwbb259ca6/productimages/singlepackshot/793086C01_RGB.png" TargetMode="External"/><Relationship Id="rId38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606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1813" Type="http://schemas.openxmlformats.org/officeDocument/2006/relationships/hyperlink" Target="https://us.pandora.net/on/demandware.static/-/Sites-pandora-master-catalog/default/dwbb259ca6/productimages/singlepackshot/262728C00_RGB.png" TargetMode="External"/><Relationship Id="rId3059" Type="http://schemas.openxmlformats.org/officeDocument/2006/relationships/hyperlink" Target="https://us.pandora.net/on/demandware.static/-/Sites-pandora-master-catalog/default/dwbb259ca6/productimages/singlepackshot/791495EN12_RGB.png" TargetMode="External"/><Relationship Id="rId3266" Type="http://schemas.openxmlformats.org/officeDocument/2006/relationships/hyperlink" Target="https://us.pandora.net/on/demandware.static/-/Sites-pandora-master-catalog/default/dwbb259ca6/productimages/singlepackshot/793512C01_RGB.png" TargetMode="External"/><Relationship Id="rId3473" Type="http://schemas.openxmlformats.org/officeDocument/2006/relationships/hyperlink" Target="https://us.pandora.net/on/demandware.static/-/Sites-pandora-master-catalog/default/dwbb259ca6/productimages/singlepackshot/798413C00_RGB.png" TargetMode="External"/><Relationship Id="rId187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394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2075" Type="http://schemas.openxmlformats.org/officeDocument/2006/relationships/hyperlink" Target="https://us.pandora.net/on/demandware.static/-/Sites-pandora-master-catalog/default/dwbb259ca6/productimages/singlepackshot/393669C01_RGB.png" TargetMode="External"/><Relationship Id="rId2282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3126" Type="http://schemas.openxmlformats.org/officeDocument/2006/relationships/hyperlink" Target="https://us.pandora.net/on/demandware.static/-/Sites-pandora-master-catalog/default/dwbb259ca6/productimages/singlepackshot/792356C01_RGB.png" TargetMode="External"/><Relationship Id="rId254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699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1091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2587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2794" Type="http://schemas.openxmlformats.org/officeDocument/2006/relationships/hyperlink" Target="https://us.pandora.net/on/demandware.static/-/Sites-pandora-master-catalog/default/dwbb259ca6/productimages/singlepackshot/762717C01_RGB.png" TargetMode="External"/><Relationship Id="rId3333" Type="http://schemas.openxmlformats.org/officeDocument/2006/relationships/hyperlink" Target="https://us.pandora.net/on/demandware.static/-/Sites-pandora-master-catalog/default/dwbb259ca6/productimages/singlepackshot/793842C01_RGB.png" TargetMode="External"/><Relationship Id="rId3540" Type="http://schemas.openxmlformats.org/officeDocument/2006/relationships/hyperlink" Target="https://us.pandora.net/on/demandware.static/-/Sites-pandora-master-catalog/default/dwbb259ca6/productimages/singlepackshot/799402C01_RGB.png" TargetMode="External"/><Relationship Id="rId114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461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559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766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1189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1396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142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2447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3400" Type="http://schemas.openxmlformats.org/officeDocument/2006/relationships/hyperlink" Target="https://us.pandora.net/on/demandware.static/-/Sites-pandora-master-catalog/default/dwbb259ca6/productimages/singlepackshot/794243C01_RGB.png" TargetMode="External"/><Relationship Id="rId321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419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626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973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049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256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2002" Type="http://schemas.openxmlformats.org/officeDocument/2006/relationships/hyperlink" Target="https://us.pandora.net/on/demandware.static/-/Sites-pandora-master-catalog/default/dwbb259ca6/productimages/singlepackshot/363899C00_RGB.png" TargetMode="External"/><Relationship Id="rId2307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2654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2861" Type="http://schemas.openxmlformats.org/officeDocument/2006/relationships/hyperlink" Target="https://us.pandora.net/on/demandware.static/-/Sites-pandora-master-catalog/default/dwbb259ca6/productimages/singlepackshot/763666C00_RGB.png" TargetMode="External"/><Relationship Id="rId2959" Type="http://schemas.openxmlformats.org/officeDocument/2006/relationships/hyperlink" Target="https://us.pandora.net/on/demandware.static/-/Sites-pandora-master-catalog/default/dwbb259ca6/productimages/singlepackshot/769270C01_RGB.png" TargetMode="External"/><Relationship Id="rId833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116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1463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1670" Type="http://schemas.openxmlformats.org/officeDocument/2006/relationships/hyperlink" Target="https://us.pandora.net/on/demandware.static/-/Sites-pandora-master-catalog/default/dwbb259ca6/productimages/singlepackshot/197681_RGB.png" TargetMode="External"/><Relationship Id="rId1768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2514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2721" Type="http://schemas.openxmlformats.org/officeDocument/2006/relationships/hyperlink" Target="https://us.pandora.net/on/demandware.static/-/Sites-pandora-master-catalog/default/dwbb259ca6/productimages/singlepackshot/599288C01_RGB.png" TargetMode="External"/><Relationship Id="rId2819" Type="http://schemas.openxmlformats.org/officeDocument/2006/relationships/hyperlink" Target="https://us.pandora.net/on/demandware.static/-/Sites-pandora-master-catalog/default/dwbb259ca6/productimages/singlepackshot/763349C01_RGB.png" TargetMode="External"/><Relationship Id="rId900" Type="http://schemas.openxmlformats.org/officeDocument/2006/relationships/hyperlink" Target="https://us.pandora.net/on/demandware.static/-/Sites-pandora-master-catalog/default/dwbb259ca6/productimages/singlepackshot/190934CZ_RGB.png" TargetMode="External"/><Relationship Id="rId1323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1530" Type="http://schemas.openxmlformats.org/officeDocument/2006/relationships/hyperlink" Target="https://us.pandora.net/on/demandware.static/-/Sites-pandora-master-catalog/default/dwbb259ca6/productimages/singlepackshot/193828C01_RGB.png" TargetMode="External"/><Relationship Id="rId1628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1975" Type="http://schemas.openxmlformats.org/officeDocument/2006/relationships/hyperlink" Target="https://us.pandora.net/on/demandware.static/-/Sites-pandora-master-catalog/default/dwbb259ca6/productimages/singlepackshot/299486C01_RGB.png" TargetMode="External"/><Relationship Id="rId3190" Type="http://schemas.openxmlformats.org/officeDocument/2006/relationships/hyperlink" Target="https://us.pandora.net/on/demandware.static/-/Sites-pandora-master-catalog/default/dwbb259ca6/productimages/singlepackshot/793042C03_RGB.png" TargetMode="External"/><Relationship Id="rId1835" Type="http://schemas.openxmlformats.org/officeDocument/2006/relationships/hyperlink" Target="https://us.pandora.net/on/demandware.static/-/Sites-pandora-master-catalog/default/dwbb259ca6/productimages/singlepackshot/263298C00_RGB.png" TargetMode="External"/><Relationship Id="rId3050" Type="http://schemas.openxmlformats.org/officeDocument/2006/relationships/hyperlink" Target="https://us.pandora.net/on/demandware.static/-/Sites-pandora-master-catalog/default/dwbb259ca6/productimages/singlepackshot/791082_RGB.png" TargetMode="External"/><Relationship Id="rId3288" Type="http://schemas.openxmlformats.org/officeDocument/2006/relationships/hyperlink" Target="https://us.pandora.net/on/demandware.static/-/Sites-pandora-master-catalog/default/dwbb259ca6/productimages/singlepackshot/793599C01_RGB.png" TargetMode="External"/><Relationship Id="rId3495" Type="http://schemas.openxmlformats.org/officeDocument/2006/relationships/hyperlink" Target="https://us.pandora.net/on/demandware.static/-/Sites-pandora-master-catalog/default/dwbb259ca6/productimages/singlepackshot/798764C01_RGB.png" TargetMode="External"/><Relationship Id="rId1902" Type="http://schemas.openxmlformats.org/officeDocument/2006/relationships/hyperlink" Target="https://us.pandora.net/on/demandware.static/-/Sites-pandora-master-catalog/default/dwbb259ca6/productimages/singlepackshot/292335C01_RGB.png" TargetMode="External"/><Relationship Id="rId2097" Type="http://schemas.openxmlformats.org/officeDocument/2006/relationships/hyperlink" Target="https://us.pandora.net/on/demandware.static/-/Sites-pandora-master-catalog/default/dwbb259ca6/productimages/singlepackshot/397436CZ_RGB.png" TargetMode="External"/><Relationship Id="rId3148" Type="http://schemas.openxmlformats.org/officeDocument/2006/relationships/hyperlink" Target="https://us.pandora.net/on/demandware.static/-/Sites-pandora-master-catalog/default/dwbb259ca6/productimages/singlepackshot/792649C01_RGB.png" TargetMode="External"/><Relationship Id="rId3355" Type="http://schemas.openxmlformats.org/officeDocument/2006/relationships/hyperlink" Target="https://us.pandora.net/on/demandware.static/-/Sites-pandora-master-catalog/default/dwbb259ca6/productimages/singlepackshot/793926C03_RGB.png" TargetMode="External"/><Relationship Id="rId276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483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690" Type="http://schemas.openxmlformats.org/officeDocument/2006/relationships/hyperlink" Target="https://us.pandora.net/on/demandware.static/-/Sites-pandora-master-catalog/default/dwbb259ca6/productimages/singlepackshot/183021C01_RGB.png" TargetMode="External"/><Relationship Id="rId2164" Type="http://schemas.openxmlformats.org/officeDocument/2006/relationships/hyperlink" Target="https://us.pandora.net/on/demandware.static/-/Sites-pandora-master-catalog/default/dwbb259ca6/productimages/singlepackshot/563173C01_RGB.png" TargetMode="External"/><Relationship Id="rId2371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3008" Type="http://schemas.openxmlformats.org/officeDocument/2006/relationships/hyperlink" Target="https://us.pandora.net/on/demandware.static/-/Sites-pandora-master-catalog/default/dwbb259ca6/productimages/singlepackshot/788826C01_RGB.png" TargetMode="External"/><Relationship Id="rId3215" Type="http://schemas.openxmlformats.org/officeDocument/2006/relationships/hyperlink" Target="https://us.pandora.net/on/demandware.static/-/Sites-pandora-master-catalog/default/dwbb259ca6/productimages/singlepackshot/793129C01_RGB.png" TargetMode="External"/><Relationship Id="rId3422" Type="http://schemas.openxmlformats.org/officeDocument/2006/relationships/hyperlink" Target="https://us.pandora.net/on/demandware.static/-/Sites-pandora-master-catalog/default/dwbb259ca6/productimages/singlepackshot/797262CZ_RGB.png" TargetMode="External"/><Relationship Id="rId136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343" Type="http://schemas.openxmlformats.org/officeDocument/2006/relationships/hyperlink" Target="https://us.pandora.net/on/demandware.static/-/Sites-pandora-master-catalog/default/dwbb259ca6/productimages/singlepackshot/163686C01_RGB.png" TargetMode="External"/><Relationship Id="rId550" Type="http://schemas.openxmlformats.org/officeDocument/2006/relationships/hyperlink" Target="https://us.pandora.net/on/demandware.static/-/Sites-pandora-master-catalog/default/dwbb259ca6/productimages/singlepackshot/168742C00_RGB.png" TargetMode="External"/><Relationship Id="rId788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995" Type="http://schemas.openxmlformats.org/officeDocument/2006/relationships/hyperlink" Target="https://us.pandora.net/on/demandware.static/-/Sites-pandora-master-catalog/default/dwbb259ca6/productimages/singlepackshot/192389C01_RGB.png" TargetMode="External"/><Relationship Id="rId1180" Type="http://schemas.openxmlformats.org/officeDocument/2006/relationships/hyperlink" Target="https://us.pandora.net/on/demandware.static/-/Sites-pandora-master-catalog/default/dwbb259ca6/productimages/singlepackshot/193022C01_RGB.png" TargetMode="External"/><Relationship Id="rId2024" Type="http://schemas.openxmlformats.org/officeDocument/2006/relationships/hyperlink" Target="https://us.pandora.net/on/demandware.static/-/Sites-pandora-master-catalog/default/dwbb259ca6/productimages/singlepackshot/382451C00_RGB.png" TargetMode="External"/><Relationship Id="rId2231" Type="http://schemas.openxmlformats.org/officeDocument/2006/relationships/hyperlink" Target="https://us.pandora.net/on/demandware.static/-/Sites-pandora-master-catalog/default/dwbb259ca6/productimages/singlepackshot/563864C00_RGB.png" TargetMode="External"/><Relationship Id="rId2469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2676" Type="http://schemas.openxmlformats.org/officeDocument/2006/relationships/hyperlink" Target="https://us.pandora.net/on/demandware.static/-/Sites-pandora-master-catalog/default/dwbb259ca6/productimages/singlepackshot/598498C01_RGB.png" TargetMode="External"/><Relationship Id="rId2883" Type="http://schemas.openxmlformats.org/officeDocument/2006/relationships/hyperlink" Target="https://us.pandora.net/on/demandware.static/-/Sites-pandora-master-catalog/default/dwbb259ca6/productimages/singlepackshot/763904C00_RGB.png" TargetMode="External"/><Relationship Id="rId203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648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855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1040" Type="http://schemas.openxmlformats.org/officeDocument/2006/relationships/hyperlink" Target="https://us.pandora.net/on/demandware.static/-/Sites-pandora-master-catalog/default/dwbb259ca6/productimages/singlepackshot/192539C01_RGB.png" TargetMode="External"/><Relationship Id="rId1278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1485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1692" Type="http://schemas.openxmlformats.org/officeDocument/2006/relationships/hyperlink" Target="https://us.pandora.net/on/demandware.static/-/Sites-pandora-master-catalog/default/dwbb259ca6/productimages/singlepackshot/198289CZ_RGB.png" TargetMode="External"/><Relationship Id="rId2329" Type="http://schemas.openxmlformats.org/officeDocument/2006/relationships/hyperlink" Target="https://us.pandora.net/on/demandware.static/-/Sites-pandora-master-catalog/default/dwbb259ca6/productimages/singlepackshot/580719_RGB.png" TargetMode="External"/><Relationship Id="rId2536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743" Type="http://schemas.openxmlformats.org/officeDocument/2006/relationships/hyperlink" Target="https://us.pandora.net/on/demandware.static/-/Sites-pandora-master-catalog/default/dwbb259ca6/productimages/singlepackshot/599588C00_RGB.png" TargetMode="External"/><Relationship Id="rId410" Type="http://schemas.openxmlformats.org/officeDocument/2006/relationships/hyperlink" Target="https://us.pandora.net/on/demandware.static/-/Sites-pandora-master-catalog/default/dwbb259ca6/productimages/singlepackshot/163884C00_RGB.png" TargetMode="External"/><Relationship Id="rId508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715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922" Type="http://schemas.openxmlformats.org/officeDocument/2006/relationships/hyperlink" Target="https://us.pandora.net/on/demandware.static/-/Sites-pandora-master-catalog/default/dwbb259ca6/productimages/singlepackshot/190980_RGB.png" TargetMode="External"/><Relationship Id="rId1138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1345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1552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1997" Type="http://schemas.openxmlformats.org/officeDocument/2006/relationships/hyperlink" Target="https://us.pandora.net/on/demandware.static/-/Sites-pandora-master-catalog/default/dwbb259ca6/productimages/singlepackshot/363508C01_RGB.png" TargetMode="External"/><Relationship Id="rId2603" Type="http://schemas.openxmlformats.org/officeDocument/2006/relationships/hyperlink" Target="https://us.pandora.net/on/demandware.static/-/Sites-pandora-master-catalog/default/dwbb259ca6/productimages/singlepackshot/593738C01_RGB.png" TargetMode="External"/><Relationship Id="rId2950" Type="http://schemas.openxmlformats.org/officeDocument/2006/relationships/hyperlink" Target="https://us.pandora.net/on/demandware.static/-/Sites-pandora-master-catalog/default/dwbb259ca6/productimages/singlepackshot/768658C01_RGB.png" TargetMode="External"/><Relationship Id="rId1205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857" Type="http://schemas.openxmlformats.org/officeDocument/2006/relationships/hyperlink" Target="https://us.pandora.net/on/demandware.static/-/Sites-pandora-master-catalog/default/dwbb259ca6/productimages/singlepackshot/263879C00_RGB.png" TargetMode="External"/><Relationship Id="rId2810" Type="http://schemas.openxmlformats.org/officeDocument/2006/relationships/hyperlink" Target="https://us.pandora.net/on/demandware.static/-/Sites-pandora-master-catalog/default/dwbb259ca6/productimages/singlepackshot/763044C01_RGB.png" TargetMode="External"/><Relationship Id="rId2908" Type="http://schemas.openxmlformats.org/officeDocument/2006/relationships/hyperlink" Target="https://us.pandora.net/on/demandware.static/-/Sites-pandora-master-catalog/default/dwbb259ca6/productimages/singlepackshot/763969C00_RGB.png" TargetMode="External"/><Relationship Id="rId51" Type="http://schemas.openxmlformats.org/officeDocument/2006/relationships/hyperlink" Target="https://us.pandora.net/on/demandware.static/-/Sites-pandora-master-catalog/default/dwbb259ca6/productimages/singlepackshot/162344C01_RGB.png" TargetMode="External"/><Relationship Id="rId1412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1717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924" Type="http://schemas.openxmlformats.org/officeDocument/2006/relationships/hyperlink" Target="https://us.pandora.net/on/demandware.static/-/Sites-pandora-master-catalog/default/dwbb259ca6/productimages/singlepackshot/293159C01_RGB.png" TargetMode="External"/><Relationship Id="rId3072" Type="http://schemas.openxmlformats.org/officeDocument/2006/relationships/hyperlink" Target="https://us.pandora.net/on/demandware.static/-/Sites-pandora-master-catalog/default/dwbb259ca6/productimages/singlepackshot/791691C05_RGB.png" TargetMode="External"/><Relationship Id="rId3377" Type="http://schemas.openxmlformats.org/officeDocument/2006/relationships/hyperlink" Target="https://us.pandora.net/on/demandware.static/-/Sites-pandora-master-catalog/default/dwbb259ca6/productimages/singlepackshot/794062C01_RGB.png" TargetMode="External"/><Relationship Id="rId298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158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2186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2393" Type="http://schemas.openxmlformats.org/officeDocument/2006/relationships/hyperlink" Target="https://us.pandora.net/on/demandware.static/-/Sites-pandora-master-catalog/default/dwbb259ca6/productimages/singlepackshot/590038C01_RGB.png" TargetMode="External"/><Relationship Id="rId2698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3237" Type="http://schemas.openxmlformats.org/officeDocument/2006/relationships/hyperlink" Target="https://us.pandora.net/on/demandware.static/-/Sites-pandora-master-catalog/default/dwbb259ca6/productimages/singlepackshot/793342C01_RGB.png" TargetMode="External"/><Relationship Id="rId3444" Type="http://schemas.openxmlformats.org/officeDocument/2006/relationships/hyperlink" Target="https://us.pandora.net/on/demandware.static/-/Sites-pandora-master-catalog/default/dwbb259ca6/productimages/singlepackshot/797475_RGB.png" TargetMode="External"/><Relationship Id="rId365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572" Type="http://schemas.openxmlformats.org/officeDocument/2006/relationships/hyperlink" Target="https://us.pandora.net/on/demandware.static/-/Sites-pandora-master-catalog/default/dwbb259ca6/productimages/singlepackshot/169057C01_RGB.png" TargetMode="External"/><Relationship Id="rId2046" Type="http://schemas.openxmlformats.org/officeDocument/2006/relationships/hyperlink" Target="https://us.pandora.net/on/demandware.static/-/Sites-pandora-master-catalog/default/dwbb259ca6/productimages/singlepackshot/392832C01_RGB.png" TargetMode="External"/><Relationship Id="rId2253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2460" Type="http://schemas.openxmlformats.org/officeDocument/2006/relationships/hyperlink" Target="https://us.pandora.net/on/demandware.static/-/Sites-pandora-master-catalog/default/dwbb259ca6/productimages/singlepackshot/590742HV_RGB.png" TargetMode="External"/><Relationship Id="rId3304" Type="http://schemas.openxmlformats.org/officeDocument/2006/relationships/hyperlink" Target="https://us.pandora.net/on/demandware.static/-/Sites-pandora-master-catalog/default/dwbb259ca6/productimages/singlepackshot/793704C02_RGB.png" TargetMode="External"/><Relationship Id="rId3511" Type="http://schemas.openxmlformats.org/officeDocument/2006/relationships/hyperlink" Target="https://us.pandora.net/on/demandware.static/-/Sites-pandora-master-catalog/default/dwbb259ca6/productimages/singlepackshot/798938C00_RGB.png" TargetMode="External"/><Relationship Id="rId225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432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877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1062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2113" Type="http://schemas.openxmlformats.org/officeDocument/2006/relationships/hyperlink" Target="https://us.pandora.net/on/demandware.static/-/Sites-pandora-master-catalog/default/dwbb259ca6/productimages/singlepackshot/399658C01_RGB.png" TargetMode="External"/><Relationship Id="rId2320" Type="http://schemas.openxmlformats.org/officeDocument/2006/relationships/hyperlink" Target="https://us.pandora.net/on/demandware.static/-/Sites-pandora-master-catalog/default/dwbb259ca6/productimages/singlepackshot/580041C01_RGB.png" TargetMode="External"/><Relationship Id="rId2558" Type="http://schemas.openxmlformats.org/officeDocument/2006/relationships/hyperlink" Target="https://us.pandora.net/on/demandware.static/-/Sites-pandora-master-catalog/default/dwbb259ca6/productimages/singlepackshot/593317C00_RGB.png" TargetMode="External"/><Relationship Id="rId2765" Type="http://schemas.openxmlformats.org/officeDocument/2006/relationships/hyperlink" Target="https://us.pandora.net/on/demandware.static/-/Sites-pandora-master-catalog/default/dwbb259ca6/productimages/singlepackshot/752636C01_RGB.png" TargetMode="External"/><Relationship Id="rId2972" Type="http://schemas.openxmlformats.org/officeDocument/2006/relationships/hyperlink" Target="https://us.pandora.net/on/demandware.static/-/Sites-pandora-master-catalog/default/dwbb259ca6/productimages/singlepackshot/781714C01_RGB.png" TargetMode="External"/><Relationship Id="rId737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944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367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1574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1781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2418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625" Type="http://schemas.openxmlformats.org/officeDocument/2006/relationships/hyperlink" Target="https://us.pandora.net/on/demandware.static/-/Sites-pandora-master-catalog/default/dwbb259ca6/productimages/singlepackshot/593854C00_RGB.png" TargetMode="External"/><Relationship Id="rId2832" Type="http://schemas.openxmlformats.org/officeDocument/2006/relationships/hyperlink" Target="https://us.pandora.net/on/demandware.static/-/Sites-pandora-master-catalog/default/dwbb259ca6/productimages/singlepackshot/763421C01_RGB.png" TargetMode="External"/><Relationship Id="rId73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804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227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434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1641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879" Type="http://schemas.openxmlformats.org/officeDocument/2006/relationships/hyperlink" Target="https://us.pandora.net/on/demandware.static/-/Sites-pandora-master-catalog/default/dwbb259ca6/productimages/singlepackshot/290023C01_RGB.png" TargetMode="External"/><Relationship Id="rId3094" Type="http://schemas.openxmlformats.org/officeDocument/2006/relationships/hyperlink" Target="https://us.pandora.net/on/demandware.static/-/Sites-pandora-master-catalog/default/dwbb259ca6/productimages/singlepackshot/792015_RGB.png" TargetMode="External"/><Relationship Id="rId1501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1739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1946" Type="http://schemas.openxmlformats.org/officeDocument/2006/relationships/hyperlink" Target="https://us.pandora.net/on/demandware.static/-/Sites-pandora-master-catalog/default/dwbb259ca6/productimages/singlepackshot/293551C01_RGB.png" TargetMode="External"/><Relationship Id="rId3399" Type="http://schemas.openxmlformats.org/officeDocument/2006/relationships/hyperlink" Target="https://us.pandora.net/on/demandware.static/-/Sites-pandora-master-catalog/default/dwbb259ca6/productimages/singlepackshot/794241C01_RGB.png" TargetMode="External"/><Relationship Id="rId1806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161" Type="http://schemas.openxmlformats.org/officeDocument/2006/relationships/hyperlink" Target="https://us.pandora.net/on/demandware.static/-/Sites-pandora-master-catalog/default/dwbb259ca6/productimages/singlepackshot/792751C01_RGB.png" TargetMode="External"/><Relationship Id="rId3259" Type="http://schemas.openxmlformats.org/officeDocument/2006/relationships/hyperlink" Target="https://us.pandora.net/on/demandware.static/-/Sites-pandora-master-catalog/default/dwbb259ca6/productimages/singlepackshot/793442C01_RGB.png" TargetMode="External"/><Relationship Id="rId3466" Type="http://schemas.openxmlformats.org/officeDocument/2006/relationships/hyperlink" Target="https://us.pandora.net/on/demandware.static/-/Sites-pandora-master-catalog/default/dwbb259ca6/productimages/singlepackshot/798064C01_RGB.png" TargetMode="External"/><Relationship Id="rId387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594" Type="http://schemas.openxmlformats.org/officeDocument/2006/relationships/hyperlink" Target="https://us.pandora.net/on/demandware.static/-/Sites-pandora-master-catalog/default/dwbb259ca6/productimages/singlepackshot/180050C01_RGB.png" TargetMode="External"/><Relationship Id="rId2068" Type="http://schemas.openxmlformats.org/officeDocument/2006/relationships/hyperlink" Target="https://us.pandora.net/on/demandware.static/-/Sites-pandora-master-catalog/default/dwbb259ca6/productimages/singlepackshot/393548C01_RGB.png" TargetMode="External"/><Relationship Id="rId2275" Type="http://schemas.openxmlformats.org/officeDocument/2006/relationships/hyperlink" Target="https://us.pandora.net/on/demandware.static/-/Sites-pandora-master-catalog/default/dwbb259ca6/productimages/singlepackshot/568707C00_RGB.png" TargetMode="External"/><Relationship Id="rId3021" Type="http://schemas.openxmlformats.org/officeDocument/2006/relationships/hyperlink" Target="https://us.pandora.net/on/demandware.static/-/Sites-pandora-master-catalog/default/dwbb259ca6/productimages/singlepackshot/789660C01_RGB.png" TargetMode="External"/><Relationship Id="rId3119" Type="http://schemas.openxmlformats.org/officeDocument/2006/relationships/hyperlink" Target="https://us.pandora.net/on/demandware.static/-/Sites-pandora-master-catalog/default/dwbb259ca6/productimages/singlepackshot/792254C01_RGB.png" TargetMode="External"/><Relationship Id="rId3326" Type="http://schemas.openxmlformats.org/officeDocument/2006/relationships/hyperlink" Target="https://us.pandora.net/on/demandware.static/-/Sites-pandora-master-catalog/default/dwbb259ca6/productimages/singlepackshot/793815C01_RGB.png" TargetMode="External"/><Relationship Id="rId247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899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1084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2482" Type="http://schemas.openxmlformats.org/officeDocument/2006/relationships/hyperlink" Target="https://us.pandora.net/on/demandware.static/-/Sites-pandora-master-catalog/default/dwbb259ca6/productimages/singlepackshot/591469C01_RGB.png" TargetMode="External"/><Relationship Id="rId2787" Type="http://schemas.openxmlformats.org/officeDocument/2006/relationships/hyperlink" Target="https://us.pandora.net/on/demandware.static/-/Sites-pandora-master-catalog/default/dwbb259ca6/productimages/singlepackshot/762707C01_RGB.png" TargetMode="External"/><Relationship Id="rId3533" Type="http://schemas.openxmlformats.org/officeDocument/2006/relationships/hyperlink" Target="https://us.pandora.net/on/demandware.static/-/Sites-pandora-master-catalog/default/dwbb259ca6/productimages/singlepackshot/799320C01_RGB.png" TargetMode="External"/><Relationship Id="rId107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454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661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759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966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291" Type="http://schemas.openxmlformats.org/officeDocument/2006/relationships/hyperlink" Target="https://us.pandora.net/on/demandware.static/-/Sites-pandora-master-catalog/default/dwbb259ca6/productimages/singlepackshot/193215C01_RGB.png" TargetMode="External"/><Relationship Id="rId1389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1596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2135" Type="http://schemas.openxmlformats.org/officeDocument/2006/relationships/hyperlink" Target="https://us.pandora.net/on/demandware.static/-/Sites-pandora-master-catalog/default/dwbb259ca6/productimages/singlepackshot/561469C02_RGB.png" TargetMode="External"/><Relationship Id="rId2342" Type="http://schemas.openxmlformats.org/officeDocument/2006/relationships/hyperlink" Target="https://us.pandora.net/on/demandware.static/-/Sites-pandora-master-catalog/default/dwbb259ca6/productimages/singlepackshot/581469C02_RGB.png" TargetMode="External"/><Relationship Id="rId2647" Type="http://schemas.openxmlformats.org/officeDocument/2006/relationships/hyperlink" Target="https://us.pandora.net/on/demandware.static/-/Sites-pandora-master-catalog/default/dwbb259ca6/productimages/singlepackshot/594227C01_RGB.png" TargetMode="External"/><Relationship Id="rId2994" Type="http://schemas.openxmlformats.org/officeDocument/2006/relationships/hyperlink" Target="https://us.pandora.net/on/demandware.static/-/Sites-pandora-master-catalog/default/dwbb259ca6/productimages/singlepackshot/783242C01_RGB.png" TargetMode="External"/><Relationship Id="rId314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521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619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1151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249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2202" Type="http://schemas.openxmlformats.org/officeDocument/2006/relationships/hyperlink" Target="https://us.pandora.net/on/demandware.static/-/Sites-pandora-master-catalog/default/dwbb259ca6/productimages/singlepackshot/563689C00_RGB.png" TargetMode="External"/><Relationship Id="rId2854" Type="http://schemas.openxmlformats.org/officeDocument/2006/relationships/hyperlink" Target="https://us.pandora.net/on/demandware.static/-/Sites-pandora-master-catalog/default/dwbb259ca6/productimages/singlepackshot/763608C01_RGB.png" TargetMode="External"/><Relationship Id="rId95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826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1011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109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456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663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1870" Type="http://schemas.openxmlformats.org/officeDocument/2006/relationships/hyperlink" Target="https://us.pandora.net/on/demandware.static/-/Sites-pandora-master-catalog/default/dwbb259ca6/productimages/singlepackshot/282622C01_RGB.png" TargetMode="External"/><Relationship Id="rId1968" Type="http://schemas.openxmlformats.org/officeDocument/2006/relationships/hyperlink" Target="https://us.pandora.net/on/demandware.static/-/Sites-pandora-master-catalog/default/dwbb259ca6/productimages/singlepackshot/297822_RGB.png" TargetMode="External"/><Relationship Id="rId2507" Type="http://schemas.openxmlformats.org/officeDocument/2006/relationships/hyperlink" Target="https://us.pandora.net/on/demandware.static/-/Sites-pandora-master-catalog/default/dwbb259ca6/productimages/singlepackshot/592340C00_RGB.png" TargetMode="External"/><Relationship Id="rId2714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2921" Type="http://schemas.openxmlformats.org/officeDocument/2006/relationships/hyperlink" Target="https://us.pandora.net/on/demandware.static/-/Sites-pandora-master-catalog/default/dwbb259ca6/productimages/singlepackshot/764046C00_RGB.png" TargetMode="External"/><Relationship Id="rId1316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523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1730" Type="http://schemas.openxmlformats.org/officeDocument/2006/relationships/hyperlink" Target="https://us.pandora.net/on/demandware.static/-/Sites-pandora-master-catalog/default/dwbb259ca6/productimages/singlepackshot/198421C05_RGB.png" TargetMode="External"/><Relationship Id="rId3183" Type="http://schemas.openxmlformats.org/officeDocument/2006/relationships/hyperlink" Target="https://us.pandora.net/on/demandware.static/-/Sites-pandora-master-catalog/default/dwbb259ca6/productimages/singlepackshot/792988C01_RGB.png" TargetMode="External"/><Relationship Id="rId3390" Type="http://schemas.openxmlformats.org/officeDocument/2006/relationships/hyperlink" Target="https://us.pandora.net/on/demandware.static/-/Sites-pandora-master-catalog/default/dwbb259ca6/productimages/singlepackshot/794161C06_RGB.png" TargetMode="External"/><Relationship Id="rId22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1828" Type="http://schemas.openxmlformats.org/officeDocument/2006/relationships/hyperlink" Target="https://us.pandora.net/on/demandware.static/-/Sites-pandora-master-catalog/default/dwbb259ca6/productimages/singlepackshot/263276C01_RGB.png" TargetMode="External"/><Relationship Id="rId3043" Type="http://schemas.openxmlformats.org/officeDocument/2006/relationships/hyperlink" Target="https://us.pandora.net/on/demandware.static/-/Sites-pandora-master-catalog/default/dwbb259ca6/productimages/singlepackshot/790780C01_RGB.png" TargetMode="External"/><Relationship Id="rId3250" Type="http://schemas.openxmlformats.org/officeDocument/2006/relationships/hyperlink" Target="https://us.pandora.net/on/demandware.static/-/Sites-pandora-master-catalog/default/dwbb259ca6/productimages/singlepackshot/793389C01_RGB.png" TargetMode="External"/><Relationship Id="rId3488" Type="http://schemas.openxmlformats.org/officeDocument/2006/relationships/hyperlink" Target="https://us.pandora.net/on/demandware.static/-/Sites-pandora-master-catalog/default/dwbb259ca6/productimages/singlepackshot/798485C01_RGB.png" TargetMode="External"/><Relationship Id="rId171" Type="http://schemas.openxmlformats.org/officeDocument/2006/relationships/hyperlink" Target="https://us.pandora.net/on/demandware.static/-/Sites-pandora-master-catalog/default/dwbb259ca6/productimages/singlepackshot/163258C01_RGB.png" TargetMode="External"/><Relationship Id="rId2297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3348" Type="http://schemas.openxmlformats.org/officeDocument/2006/relationships/hyperlink" Target="https://us.pandora.net/on/demandware.static/-/Sites-pandora-master-catalog/default/dwbb259ca6/productimages/singlepackshot/793910C00_RGB.png" TargetMode="External"/><Relationship Id="rId3555" Type="http://schemas.openxmlformats.org/officeDocument/2006/relationships/hyperlink" Target="https://us.pandora.net/on/demandware.static/-/Sites-pandora-master-catalog/default/dwbb259ca6/productimages/singlepackshot/799646C01_RGB.png" TargetMode="External"/><Relationship Id="rId269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476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683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890" Type="http://schemas.openxmlformats.org/officeDocument/2006/relationships/hyperlink" Target="https://us.pandora.net/on/demandware.static/-/Sites-pandora-master-catalog/default/dwbb259ca6/productimages/singlepackshot/190892CZ_RGB.png" TargetMode="External"/><Relationship Id="rId2157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2364" Type="http://schemas.openxmlformats.org/officeDocument/2006/relationships/hyperlink" Target="https://us.pandora.net/on/demandware.static/-/Sites-pandora-master-catalog/default/dwbb259ca6/productimages/singlepackshot/587132_RGB.png" TargetMode="External"/><Relationship Id="rId2571" Type="http://schemas.openxmlformats.org/officeDocument/2006/relationships/hyperlink" Target="https://us.pandora.net/on/demandware.static/-/Sites-pandora-master-catalog/default/dwbb259ca6/productimages/singlepackshot/593400C01_RGB.png" TargetMode="External"/><Relationship Id="rId3110" Type="http://schemas.openxmlformats.org/officeDocument/2006/relationships/hyperlink" Target="https://us.pandora.net/on/demandware.static/-/Sites-pandora-master-catalog/default/dwbb259ca6/productimages/singlepackshot/792197C01_RGB.png" TargetMode="External"/><Relationship Id="rId3208" Type="http://schemas.openxmlformats.org/officeDocument/2006/relationships/hyperlink" Target="https://us.pandora.net/on/demandware.static/-/Sites-pandora-master-catalog/default/dwbb259ca6/productimages/singlepackshot/793125C01_RGB.png" TargetMode="External"/><Relationship Id="rId3415" Type="http://schemas.openxmlformats.org/officeDocument/2006/relationships/hyperlink" Target="https://us.pandora.net/on/demandware.static/-/Sites-pandora-master-catalog/default/dwbb259ca6/productimages/singlepackshot/796261PCZ_RGB.png" TargetMode="External"/><Relationship Id="rId129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336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543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988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1173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1380" Type="http://schemas.openxmlformats.org/officeDocument/2006/relationships/hyperlink" Target="https://us.pandora.net/on/demandware.static/-/Sites-pandora-master-catalog/default/dwbb259ca6/productimages/singlepackshot/193550C01_RGB.png" TargetMode="External"/><Relationship Id="rId2017" Type="http://schemas.openxmlformats.org/officeDocument/2006/relationships/hyperlink" Target="https://us.pandora.net/on/demandware.static/-/Sites-pandora-master-catalog/default/dwbb259ca6/productimages/singlepackshot/369260C00_RGB.png" TargetMode="External"/><Relationship Id="rId2224" Type="http://schemas.openxmlformats.org/officeDocument/2006/relationships/hyperlink" Target="https://us.pandora.net/on/demandware.static/-/Sites-pandora-master-catalog/default/dwbb259ca6/productimages/singlepackshot/563829C00_RGB.png" TargetMode="External"/><Relationship Id="rId2669" Type="http://schemas.openxmlformats.org/officeDocument/2006/relationships/hyperlink" Target="https://us.pandora.net/on/demandware.static/-/Sites-pandora-master-catalog/default/dwbb259ca6/productimages/singlepackshot/597770CZ_RGB.png" TargetMode="External"/><Relationship Id="rId2876" Type="http://schemas.openxmlformats.org/officeDocument/2006/relationships/hyperlink" Target="https://us.pandora.net/on/demandware.static/-/Sites-pandora-master-catalog/default/dwbb259ca6/productimages/singlepackshot/763826C01_RGB.png" TargetMode="External"/><Relationship Id="rId403" Type="http://schemas.openxmlformats.org/officeDocument/2006/relationships/hyperlink" Target="https://us.pandora.net/on/demandware.static/-/Sites-pandora-master-catalog/default/dwbb259ca6/productimages/singlepackshot/163832C00_RGB.png" TargetMode="External"/><Relationship Id="rId750" Type="http://schemas.openxmlformats.org/officeDocument/2006/relationships/hyperlink" Target="https://us.pandora.net/on/demandware.static/-/Sites-pandora-master-catalog/default/dwbb259ca6/productimages/singlepackshot/188421C01_RGB.png" TargetMode="External"/><Relationship Id="rId848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033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478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1685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1892" Type="http://schemas.openxmlformats.org/officeDocument/2006/relationships/hyperlink" Target="https://us.pandora.net/on/demandware.static/-/Sites-pandora-master-catalog/default/dwbb259ca6/productimages/singlepackshot/291445C01_RGB.png" TargetMode="External"/><Relationship Id="rId2431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2529" Type="http://schemas.openxmlformats.org/officeDocument/2006/relationships/hyperlink" Target="https://us.pandora.net/on/demandware.static/-/Sites-pandora-master-catalog/default/dwbb259ca6/productimages/singlepackshot/592793C00_RGB.png" TargetMode="External"/><Relationship Id="rId2736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610" Type="http://schemas.openxmlformats.org/officeDocument/2006/relationships/hyperlink" Target="https://us.pandora.net/on/demandware.static/-/Sites-pandora-master-catalog/default/dwbb259ca6/productimages/singlepackshot/180892CZ_RGB.png" TargetMode="External"/><Relationship Id="rId708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915" Type="http://schemas.openxmlformats.org/officeDocument/2006/relationships/hyperlink" Target="https://us.pandora.net/on/demandware.static/-/Sites-pandora-master-catalog/default/dwbb259ca6/productimages/singlepackshot/190963CZ_RGB.png" TargetMode="External"/><Relationship Id="rId1240" Type="http://schemas.openxmlformats.org/officeDocument/2006/relationships/hyperlink" Target="https://us.pandora.net/on/demandware.static/-/Sites-pandora-master-catalog/default/dwbb259ca6/productimages/singlepackshot/193098C01_RGB.png" TargetMode="External"/><Relationship Id="rId1338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545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2943" Type="http://schemas.openxmlformats.org/officeDocument/2006/relationships/hyperlink" Target="https://us.pandora.net/on/demandware.static/-/Sites-pandora-master-catalog/default/dwbb259ca6/productimages/singlepackshot/764240C01_RGB.png" TargetMode="External"/><Relationship Id="rId1100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1405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752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2803" Type="http://schemas.openxmlformats.org/officeDocument/2006/relationships/hyperlink" Target="https://us.pandora.net/on/demandware.static/-/Sites-pandora-master-catalog/default/dwbb259ca6/productimages/singlepackshot/762820C01_RGB.png" TargetMode="External"/><Relationship Id="rId44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612" Type="http://schemas.openxmlformats.org/officeDocument/2006/relationships/hyperlink" Target="https://us.pandora.net/on/demandware.static/-/Sites-pandora-master-catalog/default/dwbb259ca6/productimages/singlepackshot/194270C01_RGB.png" TargetMode="External"/><Relationship Id="rId1917" Type="http://schemas.openxmlformats.org/officeDocument/2006/relationships/hyperlink" Target="https://us.pandora.net/on/demandware.static/-/Sites-pandora-master-catalog/default/dwbb259ca6/productimages/singlepackshot/293016C01_RGB.png" TargetMode="External"/><Relationship Id="rId3065" Type="http://schemas.openxmlformats.org/officeDocument/2006/relationships/hyperlink" Target="https://us.pandora.net/on/demandware.static/-/Sites-pandora-master-catalog/default/dwbb259ca6/productimages/singlepackshot/791678C01_RGB.png" TargetMode="External"/><Relationship Id="rId3272" Type="http://schemas.openxmlformats.org/officeDocument/2006/relationships/hyperlink" Target="https://us.pandora.net/on/demandware.static/-/Sites-pandora-master-catalog/default/dwbb259ca6/productimages/singlepackshot/793559C01_RGB.png" TargetMode="External"/><Relationship Id="rId193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498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2081" Type="http://schemas.openxmlformats.org/officeDocument/2006/relationships/hyperlink" Target="https://us.pandora.net/on/demandware.static/-/Sites-pandora-master-catalog/default/dwbb259ca6/productimages/singlepackshot/393806C01_RGB.png" TargetMode="External"/><Relationship Id="rId2179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3132" Type="http://schemas.openxmlformats.org/officeDocument/2006/relationships/hyperlink" Target="https://us.pandora.net/on/demandware.static/-/Sites-pandora-master-catalog/default/dwbb259ca6/productimages/singlepackshot/792382C01_RGB.png" TargetMode="External"/><Relationship Id="rId260" Type="http://schemas.openxmlformats.org/officeDocument/2006/relationships/hyperlink" Target="https://us.pandora.net/on/demandware.static/-/Sites-pandora-master-catalog/default/dwbb259ca6/productimages/singlepackshot/163427C00_RGB.png" TargetMode="External"/><Relationship Id="rId2386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2593" Type="http://schemas.openxmlformats.org/officeDocument/2006/relationships/hyperlink" Target="https://us.pandora.net/on/demandware.static/-/Sites-pandora-master-catalog/default/dwbb259ca6/productimages/singlepackshot/593655C01_RGB.png" TargetMode="External"/><Relationship Id="rId3437" Type="http://schemas.openxmlformats.org/officeDocument/2006/relationships/hyperlink" Target="https://us.pandora.net/on/demandware.static/-/Sites-pandora-master-catalog/default/dwbb259ca6/productimages/singlepackshot/797468_RGB.png" TargetMode="External"/><Relationship Id="rId120" Type="http://schemas.openxmlformats.org/officeDocument/2006/relationships/hyperlink" Target="https://us.pandora.net/on/demandware.static/-/Sites-pandora-master-catalog/default/dwbb259ca6/productimages/singlepackshot/163088C01_RGB.png" TargetMode="External"/><Relationship Id="rId358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565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772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1195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39" Type="http://schemas.openxmlformats.org/officeDocument/2006/relationships/hyperlink" Target="https://us.pandora.net/on/demandware.static/-/Sites-pandora-master-catalog/default/dwbb259ca6/productimages/singlepackshot/392387C02_RGB.png" TargetMode="External"/><Relationship Id="rId2246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2453" Type="http://schemas.openxmlformats.org/officeDocument/2006/relationships/hyperlink" Target="https://us.pandora.net/on/demandware.static/-/Sites-pandora-master-catalog/default/dwbb259ca6/productimages/singlepackshot/590728_RGB.png" TargetMode="External"/><Relationship Id="rId2660" Type="http://schemas.openxmlformats.org/officeDocument/2006/relationships/hyperlink" Target="https://us.pandora.net/on/demandware.static/-/Sites-pandora-master-catalog/default/dwbb259ca6/productimages/singlepackshot/594262C01_RGB.png" TargetMode="External"/><Relationship Id="rId2898" Type="http://schemas.openxmlformats.org/officeDocument/2006/relationships/hyperlink" Target="https://us.pandora.net/on/demandware.static/-/Sites-pandora-master-catalog/default/dwbb259ca6/productimages/singlepackshot/763959C00_RGB.png" TargetMode="External"/><Relationship Id="rId3504" Type="http://schemas.openxmlformats.org/officeDocument/2006/relationships/hyperlink" Target="https://us.pandora.net/on/demandware.static/-/Sites-pandora-master-catalog/default/dwbb259ca6/productimages/singlepackshot/798880C02_RGB.png" TargetMode="External"/><Relationship Id="rId218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425" Type="http://schemas.openxmlformats.org/officeDocument/2006/relationships/hyperlink" Target="https://us.pandora.net/on/demandware.static/-/Sites-pandora-master-catalog/default/dwbb259ca6/productimages/singlepackshot/163886C00_RGB.png" TargetMode="External"/><Relationship Id="rId632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1055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1262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2106" Type="http://schemas.openxmlformats.org/officeDocument/2006/relationships/hyperlink" Target="https://us.pandora.net/on/demandware.static/-/Sites-pandora-master-catalog/default/dwbb259ca6/productimages/singlepackshot/398821C01_RGB.png" TargetMode="External"/><Relationship Id="rId2313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2520" Type="http://schemas.openxmlformats.org/officeDocument/2006/relationships/hyperlink" Target="https://us.pandora.net/on/demandware.static/-/Sites-pandora-master-catalog/default/dwbb259ca6/productimages/singlepackshot/592645C01_RGB.png" TargetMode="External"/><Relationship Id="rId2758" Type="http://schemas.openxmlformats.org/officeDocument/2006/relationships/hyperlink" Target="https://us.pandora.net/on/demandware.static/-/Sites-pandora-master-catalog/default/dwbb259ca6/productimages/singlepackshot/599662C00_RGB.png" TargetMode="External"/><Relationship Id="rId2965" Type="http://schemas.openxmlformats.org/officeDocument/2006/relationships/hyperlink" Target="https://us.pandora.net/on/demandware.static/-/Sites-pandora-master-catalog/default/dwbb259ca6/productimages/singlepackshot/780087C01_RGB.png" TargetMode="External"/><Relationship Id="rId937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122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1567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1774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1981" Type="http://schemas.openxmlformats.org/officeDocument/2006/relationships/hyperlink" Target="https://us.pandora.net/on/demandware.static/-/Sites-pandora-master-catalog/default/dwbb259ca6/productimages/singlepackshot/362237C00_RGB.png" TargetMode="External"/><Relationship Id="rId2618" Type="http://schemas.openxmlformats.org/officeDocument/2006/relationships/hyperlink" Target="https://us.pandora.net/on/demandware.static/-/Sites-pandora-master-catalog/default/dwbb259ca6/productimages/singlepackshot/593816C01_RGB.png" TargetMode="External"/><Relationship Id="rId2825" Type="http://schemas.openxmlformats.org/officeDocument/2006/relationships/hyperlink" Target="https://us.pandora.net/on/demandware.static/-/Sites-pandora-master-catalog/default/dwbb259ca6/productimages/singlepackshot/763375C01_RGB.png" TargetMode="External"/><Relationship Id="rId66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1427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634" Type="http://schemas.openxmlformats.org/officeDocument/2006/relationships/hyperlink" Target="https://us.pandora.net/on/demandware.static/-/Sites-pandora-master-catalog/default/dwbb259ca6/productimages/singlepackshot/196314_RGB.png" TargetMode="External"/><Relationship Id="rId1841" Type="http://schemas.openxmlformats.org/officeDocument/2006/relationships/hyperlink" Target="https://us.pandora.net/on/demandware.static/-/Sites-pandora-master-catalog/default/dwbb259ca6/productimages/singlepackshot/263507C01_RGB.png" TargetMode="External"/><Relationship Id="rId3087" Type="http://schemas.openxmlformats.org/officeDocument/2006/relationships/hyperlink" Target="https://us.pandora.net/on/demandware.static/-/Sites-pandora-master-catalog/default/dwbb259ca6/productimages/singlepackshot/791946PCZ_RGB.png" TargetMode="External"/><Relationship Id="rId3294" Type="http://schemas.openxmlformats.org/officeDocument/2006/relationships/hyperlink" Target="https://us.pandora.net/on/demandware.static/-/Sites-pandora-master-catalog/default/dwbb259ca6/productimages/singlepackshot/793665C01_RGB.png" TargetMode="External"/><Relationship Id="rId1939" Type="http://schemas.openxmlformats.org/officeDocument/2006/relationships/hyperlink" Target="https://us.pandora.net/on/demandware.static/-/Sites-pandora-master-catalog/default/dwbb259ca6/productimages/singlepackshot/293506C01_RGB.png" TargetMode="External"/><Relationship Id="rId1701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3154" Type="http://schemas.openxmlformats.org/officeDocument/2006/relationships/hyperlink" Target="https://us.pandora.net/on/demandware.static/-/Sites-pandora-master-catalog/default/dwbb259ca6/productimages/singlepackshot/792700C01_RGB.png" TargetMode="External"/><Relationship Id="rId3361" Type="http://schemas.openxmlformats.org/officeDocument/2006/relationships/hyperlink" Target="https://us.pandora.net/on/demandware.static/-/Sites-pandora-master-catalog/default/dwbb259ca6/productimages/singlepackshot/793993C00_RGB.png" TargetMode="External"/><Relationship Id="rId3459" Type="http://schemas.openxmlformats.org/officeDocument/2006/relationships/hyperlink" Target="https://us.pandora.net/on/demandware.static/-/Sites-pandora-master-catalog/default/dwbb259ca6/productimages/singlepackshot/798012FPC_RGB.png" TargetMode="External"/><Relationship Id="rId282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587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2170" Type="http://schemas.openxmlformats.org/officeDocument/2006/relationships/hyperlink" Target="https://us.pandora.net/on/demandware.static/-/Sites-pandora-master-catalog/default/dwbb259ca6/productimages/singlepackshot/563310C00_RGB.png" TargetMode="External"/><Relationship Id="rId2268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3014" Type="http://schemas.openxmlformats.org/officeDocument/2006/relationships/hyperlink" Target="https://us.pandora.net/on/demandware.static/-/Sites-pandora-master-catalog/default/dwbb259ca6/productimages/singlepackshot/789270C01_RGB.png" TargetMode="External"/><Relationship Id="rId3221" Type="http://schemas.openxmlformats.org/officeDocument/2006/relationships/hyperlink" Target="https://us.pandora.net/on/demandware.static/-/Sites-pandora-master-catalog/default/dwbb259ca6/productimages/singlepackshot/793212C01_RGB.png" TargetMode="External"/><Relationship Id="rId3319" Type="http://schemas.openxmlformats.org/officeDocument/2006/relationships/hyperlink" Target="https://us.pandora.net/on/demandware.static/-/Sites-pandora-master-catalog/default/dwbb259ca6/productimages/singlepackshot/793772C01_RGB.png" TargetMode="External"/><Relationship Id="rId8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142" Type="http://schemas.openxmlformats.org/officeDocument/2006/relationships/hyperlink" Target="https://us.pandora.net/on/demandware.static/-/Sites-pandora-master-catalog/default/dwbb259ca6/productimages/singlepackshot/163103C01_RGB.png" TargetMode="External"/><Relationship Id="rId447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794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1077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2030" Type="http://schemas.openxmlformats.org/officeDocument/2006/relationships/hyperlink" Target="https://us.pandora.net/on/demandware.static/-/Sites-pandora-master-catalog/default/dwbb259ca6/productimages/singlepackshot/388610C00_RGB.png" TargetMode="External"/><Relationship Id="rId2128" Type="http://schemas.openxmlformats.org/officeDocument/2006/relationships/hyperlink" Target="https://us.pandora.net/on/demandware.static/-/Sites-pandora-master-catalog/default/dwbb259ca6/productimages/singlepackshot/560041C01_RGB.png" TargetMode="External"/><Relationship Id="rId2475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2682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2987" Type="http://schemas.openxmlformats.org/officeDocument/2006/relationships/hyperlink" Target="https://us.pandora.net/on/demandware.static/-/Sites-pandora-master-catalog/default/dwbb259ca6/productimages/singlepackshot/782716C00_RGB.png" TargetMode="External"/><Relationship Id="rId3526" Type="http://schemas.openxmlformats.org/officeDocument/2006/relationships/hyperlink" Target="https://us.pandora.net/on/demandware.static/-/Sites-pandora-master-catalog/default/dwbb259ca6/productimages/singlepackshot/799187C01_RGB.png" TargetMode="External"/><Relationship Id="rId654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861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959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284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1491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1589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2335" Type="http://schemas.openxmlformats.org/officeDocument/2006/relationships/hyperlink" Target="https://us.pandora.net/on/demandware.static/-/Sites-pandora-master-catalog/default/dwbb259ca6/productimages/singlepackshot/580728_RGB.png" TargetMode="External"/><Relationship Id="rId2542" Type="http://schemas.openxmlformats.org/officeDocument/2006/relationships/hyperlink" Target="https://us.pandora.net/on/demandware.static/-/Sites-pandora-master-catalog/default/dwbb259ca6/productimages/singlepackshot/593008C01_RGB.png" TargetMode="External"/><Relationship Id="rId307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514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721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1144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51" Type="http://schemas.openxmlformats.org/officeDocument/2006/relationships/hyperlink" Target="https://us.pandora.net/on/demandware.static/-/Sites-pandora-master-catalog/default/dwbb259ca6/productimages/singlepackshot/193427C00_RGB.png" TargetMode="External"/><Relationship Id="rId1449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796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2402" Type="http://schemas.openxmlformats.org/officeDocument/2006/relationships/hyperlink" Target="https://us.pandora.net/on/demandware.static/-/Sites-pandora-master-catalog/default/dwbb259ca6/productimages/singlepackshot/590039C01_RGB.png" TargetMode="External"/><Relationship Id="rId2847" Type="http://schemas.openxmlformats.org/officeDocument/2006/relationships/hyperlink" Target="https://us.pandora.net/on/demandware.static/-/Sites-pandora-master-catalog/default/dwbb259ca6/productimages/singlepackshot/763583C01_RGB.png" TargetMode="External"/><Relationship Id="rId88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819" Type="http://schemas.openxmlformats.org/officeDocument/2006/relationships/hyperlink" Target="https://us.pandora.net/on/demandware.static/-/Sites-pandora-master-catalog/default/dwbb259ca6/productimages/singlepackshot/190017C01_RGB.png" TargetMode="External"/><Relationship Id="rId1004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211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656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863" Type="http://schemas.openxmlformats.org/officeDocument/2006/relationships/hyperlink" Target="https://us.pandora.net/on/demandware.static/-/Sites-pandora-master-catalog/default/dwbb259ca6/productimages/singlepackshot/268427C02_RGB.png" TargetMode="External"/><Relationship Id="rId2707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2914" Type="http://schemas.openxmlformats.org/officeDocument/2006/relationships/hyperlink" Target="https://us.pandora.net/on/demandware.static/-/Sites-pandora-master-catalog/default/dwbb259ca6/productimages/singlepackshot/763998C00_RGB.png" TargetMode="External"/><Relationship Id="rId1309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516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1723" Type="http://schemas.openxmlformats.org/officeDocument/2006/relationships/hyperlink" Target="https://us.pandora.net/on/demandware.static/-/Sites-pandora-master-catalog/default/dwbb259ca6/productimages/singlepackshot/198421C04_RGB.png" TargetMode="External"/><Relationship Id="rId1930" Type="http://schemas.openxmlformats.org/officeDocument/2006/relationships/hyperlink" Target="https://us.pandora.net/on/demandware.static/-/Sites-pandora-master-catalog/default/dwbb259ca6/productimages/singlepackshot/293219C01_RGB.png" TargetMode="External"/><Relationship Id="rId3176" Type="http://schemas.openxmlformats.org/officeDocument/2006/relationships/hyperlink" Target="https://us.pandora.net/on/demandware.static/-/Sites-pandora-master-catalog/default/dwbb259ca6/productimages/singlepackshot/792974C01_RGB.png" TargetMode="External"/><Relationship Id="rId3383" Type="http://schemas.openxmlformats.org/officeDocument/2006/relationships/hyperlink" Target="https://us.pandora.net/on/demandware.static/-/Sites-pandora-master-catalog/default/dwbb259ca6/productimages/singlepackshot/794142C01_RGB.png" TargetMode="External"/><Relationship Id="rId15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2192" Type="http://schemas.openxmlformats.org/officeDocument/2006/relationships/hyperlink" Target="https://us.pandora.net/on/demandware.static/-/Sites-pandora-master-catalog/default/dwbb259ca6/productimages/singlepackshot/563539C01_RGB.png" TargetMode="External"/><Relationship Id="rId3036" Type="http://schemas.openxmlformats.org/officeDocument/2006/relationships/hyperlink" Target="https://us.pandora.net/on/demandware.static/-/Sites-pandora-master-catalog/default/dwbb259ca6/productimages/singlepackshot/790667C02_RGB.png" TargetMode="External"/><Relationship Id="rId3243" Type="http://schemas.openxmlformats.org/officeDocument/2006/relationships/hyperlink" Target="https://us.pandora.net/on/demandware.static/-/Sites-pandora-master-catalog/default/dwbb259ca6/productimages/singlepackshot/793357C01_RGB.png" TargetMode="External"/><Relationship Id="rId164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371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2052" Type="http://schemas.openxmlformats.org/officeDocument/2006/relationships/hyperlink" Target="https://us.pandora.net/on/demandware.static/-/Sites-pandora-master-catalog/default/dwbb259ca6/productimages/singlepackshot/393091C00_RGB.png" TargetMode="External"/><Relationship Id="rId2497" Type="http://schemas.openxmlformats.org/officeDocument/2006/relationships/hyperlink" Target="https://us.pandora.net/on/demandware.static/-/Sites-pandora-master-catalog/default/dwbb259ca6/productimages/singlepackshot/592313C01_RGB.png" TargetMode="External"/><Relationship Id="rId3450" Type="http://schemas.openxmlformats.org/officeDocument/2006/relationships/hyperlink" Target="https://us.pandora.net/on/demandware.static/-/Sites-pandora-master-catalog/default/dwbb259ca6/productimages/singlepackshot/797516_RGB.png" TargetMode="External"/><Relationship Id="rId3548" Type="http://schemas.openxmlformats.org/officeDocument/2006/relationships/hyperlink" Target="https://us.pandora.net/on/demandware.static/-/Sites-pandora-master-catalog/default/dwbb259ca6/productimages/singlepackshot/799540C01_RGB.png" TargetMode="External"/><Relationship Id="rId469" Type="http://schemas.openxmlformats.org/officeDocument/2006/relationships/hyperlink" Target="https://us.pandora.net/on/demandware.static/-/Sites-pandora-master-catalog/default/dwbb259ca6/productimages/singlepackshot/164135C01_RGB.png" TargetMode="External"/><Relationship Id="rId676" Type="http://schemas.openxmlformats.org/officeDocument/2006/relationships/hyperlink" Target="https://us.pandora.net/on/demandware.static/-/Sites-pandora-master-catalog/default/dwbb259ca6/productimages/singlepackshot/182835C01_RGB.png" TargetMode="External"/><Relationship Id="rId883" Type="http://schemas.openxmlformats.org/officeDocument/2006/relationships/hyperlink" Target="https://us.pandora.net/on/demandware.static/-/Sites-pandora-master-catalog/default/dwbb259ca6/productimages/singlepackshot/190880CZ_RGB.png" TargetMode="External"/><Relationship Id="rId1099" Type="http://schemas.openxmlformats.org/officeDocument/2006/relationships/hyperlink" Target="https://us.pandora.net/on/demandware.static/-/Sites-pandora-master-catalog/default/dwbb259ca6/productimages/singlepackshot/192993C01_RGB.png" TargetMode="External"/><Relationship Id="rId2357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2564" Type="http://schemas.openxmlformats.org/officeDocument/2006/relationships/hyperlink" Target="https://us.pandora.net/on/demandware.static/-/Sites-pandora-master-catalog/default/dwbb259ca6/productimages/singlepackshot/593363C00_RGB.png" TargetMode="External"/><Relationship Id="rId3103" Type="http://schemas.openxmlformats.org/officeDocument/2006/relationships/hyperlink" Target="https://us.pandora.net/on/demandware.static/-/Sites-pandora-master-catalog/default/dwbb259ca6/productimages/singlepackshot/792030C01_RGB.png" TargetMode="External"/><Relationship Id="rId3310" Type="http://schemas.openxmlformats.org/officeDocument/2006/relationships/hyperlink" Target="https://us.pandora.net/on/demandware.static/-/Sites-pandora-master-catalog/default/dwbb259ca6/productimages/singlepackshot/793747C01_RGB.png" TargetMode="External"/><Relationship Id="rId3408" Type="http://schemas.openxmlformats.org/officeDocument/2006/relationships/hyperlink" Target="https://us.pandora.net/on/demandware.static/-/Sites-pandora-master-catalog/default/dwbb259ca6/productimages/singlepackshot/794252C01_RGB.png" TargetMode="External"/><Relationship Id="rId231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329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536" Type="http://schemas.openxmlformats.org/officeDocument/2006/relationships/hyperlink" Target="https://us.pandora.net/on/demandware.static/-/Sites-pandora-master-catalog/default/dwbb259ca6/productimages/singlepackshot/168421C02_RGB.png" TargetMode="External"/><Relationship Id="rId1166" Type="http://schemas.openxmlformats.org/officeDocument/2006/relationships/hyperlink" Target="https://us.pandora.net/on/demandware.static/-/Sites-pandora-master-catalog/default/dwbb259ca6/productimages/singlepackshot/193004C01_RGB.png" TargetMode="External"/><Relationship Id="rId1373" Type="http://schemas.openxmlformats.org/officeDocument/2006/relationships/hyperlink" Target="https://us.pandora.net/on/demandware.static/-/Sites-pandora-master-catalog/default/dwbb259ca6/productimages/singlepackshot/193510C03_RGB.png" TargetMode="External"/><Relationship Id="rId2217" Type="http://schemas.openxmlformats.org/officeDocument/2006/relationships/hyperlink" Target="https://us.pandora.net/on/demandware.static/-/Sites-pandora-master-catalog/default/dwbb259ca6/productimages/singlepackshot/563811C00_RGB.png" TargetMode="External"/><Relationship Id="rId2771" Type="http://schemas.openxmlformats.org/officeDocument/2006/relationships/hyperlink" Target="https://us.pandora.net/on/demandware.static/-/Sites-pandora-master-catalog/default/dwbb259ca6/productimages/singlepackshot/760964C00_RGB.png" TargetMode="External"/><Relationship Id="rId2869" Type="http://schemas.openxmlformats.org/officeDocument/2006/relationships/hyperlink" Target="https://us.pandora.net/on/demandware.static/-/Sites-pandora-master-catalog/default/dwbb259ca6/productimages/singlepackshot/763784C01_RGB.png" TargetMode="External"/><Relationship Id="rId743" Type="http://schemas.openxmlformats.org/officeDocument/2006/relationships/hyperlink" Target="https://us.pandora.net/on/demandware.static/-/Sites-pandora-master-catalog/default/dwbb259ca6/productimages/singlepackshot/188289C01_RGB.png" TargetMode="External"/><Relationship Id="rId950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026" Type="http://schemas.openxmlformats.org/officeDocument/2006/relationships/hyperlink" Target="https://us.pandora.net/on/demandware.static/-/Sites-pandora-master-catalog/default/dwbb259ca6/productimages/singlepackshot/192394C01_RGB.png" TargetMode="External"/><Relationship Id="rId1580" Type="http://schemas.openxmlformats.org/officeDocument/2006/relationships/hyperlink" Target="https://us.pandora.net/on/demandware.static/-/Sites-pandora-master-catalog/default/dwbb259ca6/productimages/singlepackshot/194233C01_RGB.png" TargetMode="External"/><Relationship Id="rId1678" Type="http://schemas.openxmlformats.org/officeDocument/2006/relationships/hyperlink" Target="https://us.pandora.net/on/demandware.static/-/Sites-pandora-master-catalog/default/dwbb259ca6/productimages/singlepackshot/198018_RGB.png" TargetMode="External"/><Relationship Id="rId1885" Type="http://schemas.openxmlformats.org/officeDocument/2006/relationships/hyperlink" Target="https://us.pandora.net/on/demandware.static/-/Sites-pandora-master-catalog/default/dwbb259ca6/productimages/singlepackshot/290597CZ_RGB.png" TargetMode="External"/><Relationship Id="rId2424" Type="http://schemas.openxmlformats.org/officeDocument/2006/relationships/hyperlink" Target="https://us.pandora.net/on/demandware.static/-/Sites-pandora-master-catalog/default/dwbb259ca6/productimages/singlepackshot/590514CZ_RGB.png" TargetMode="External"/><Relationship Id="rId2631" Type="http://schemas.openxmlformats.org/officeDocument/2006/relationships/hyperlink" Target="https://us.pandora.net/on/demandware.static/-/Sites-pandora-master-catalog/default/dwbb259ca6/productimages/singlepackshot/593927C01_RGB.png" TargetMode="External"/><Relationship Id="rId2729" Type="http://schemas.openxmlformats.org/officeDocument/2006/relationships/hyperlink" Target="https://us.pandora.net/on/demandware.static/-/Sites-pandora-master-catalog/default/dwbb259ca6/productimages/singlepackshot/599375C01_RGB.png" TargetMode="External"/><Relationship Id="rId2936" Type="http://schemas.openxmlformats.org/officeDocument/2006/relationships/hyperlink" Target="https://us.pandora.net/on/demandware.static/-/Sites-pandora-master-catalog/default/dwbb259ca6/productimages/singlepackshot/764138C01_RGB.png" TargetMode="External"/><Relationship Id="rId603" Type="http://schemas.openxmlformats.org/officeDocument/2006/relationships/hyperlink" Target="https://us.pandora.net/on/demandware.static/-/Sites-pandora-master-catalog/default/dwbb259ca6/productimages/singlepackshot/180050C02_RGB.png" TargetMode="External"/><Relationship Id="rId810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908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233" Type="http://schemas.openxmlformats.org/officeDocument/2006/relationships/hyperlink" Target="https://us.pandora.net/on/demandware.static/-/Sites-pandora-master-catalog/default/dwbb259ca6/productimages/singlepackshot/193095C00_RGB.png" TargetMode="External"/><Relationship Id="rId1440" Type="http://schemas.openxmlformats.org/officeDocument/2006/relationships/hyperlink" Target="https://us.pandora.net/on/demandware.static/-/Sites-pandora-master-catalog/default/dwbb259ca6/productimages/singlepackshot/193578C01_RGB.png" TargetMode="External"/><Relationship Id="rId1538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1300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1745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1952" Type="http://schemas.openxmlformats.org/officeDocument/2006/relationships/hyperlink" Target="https://us.pandora.net/on/demandware.static/-/Sites-pandora-master-catalog/default/dwbb259ca6/productimages/singlepackshot/293741C01_RGB.png" TargetMode="External"/><Relationship Id="rId3198" Type="http://schemas.openxmlformats.org/officeDocument/2006/relationships/hyperlink" Target="https://us.pandora.net/on/demandware.static/-/Sites-pandora-master-catalog/default/dwbb259ca6/productimages/singlepackshot/793085C01_RGB.png" TargetMode="External"/><Relationship Id="rId37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605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1812" Type="http://schemas.openxmlformats.org/officeDocument/2006/relationships/hyperlink" Target="https://us.pandora.net/on/demandware.static/-/Sites-pandora-master-catalog/default/dwbb259ca6/productimages/singlepackshot/262667C01_RGB.png" TargetMode="External"/><Relationship Id="rId3058" Type="http://schemas.openxmlformats.org/officeDocument/2006/relationships/hyperlink" Target="https://us.pandora.net/on/demandware.static/-/Sites-pandora-master-catalog/default/dwbb259ca6/productimages/singlepackshot/791361EN09_RGB.png" TargetMode="External"/><Relationship Id="rId3265" Type="http://schemas.openxmlformats.org/officeDocument/2006/relationships/hyperlink" Target="https://us.pandora.net/on/demandware.static/-/Sites-pandora-master-catalog/default/dwbb259ca6/productimages/singlepackshot/793463C01_RGB.png" TargetMode="External"/><Relationship Id="rId3472" Type="http://schemas.openxmlformats.org/officeDocument/2006/relationships/hyperlink" Target="https://us.pandora.net/on/demandware.static/-/Sites-pandora-master-catalog/default/dwbb259ca6/productimages/singlepackshot/798397NBCB_RGB.png" TargetMode="External"/><Relationship Id="rId186" Type="http://schemas.openxmlformats.org/officeDocument/2006/relationships/hyperlink" Target="https://us.pandora.net/on/demandware.static/-/Sites-pandora-master-catalog/default/dwbb259ca6/productimages/singlepackshot/163264C00_RGB.png" TargetMode="External"/><Relationship Id="rId393" Type="http://schemas.openxmlformats.org/officeDocument/2006/relationships/hyperlink" Target="https://us.pandora.net/on/demandware.static/-/Sites-pandora-master-catalog/default/dwbb259ca6/productimages/singlepackshot/163802C01_RGB.png" TargetMode="External"/><Relationship Id="rId2074" Type="http://schemas.openxmlformats.org/officeDocument/2006/relationships/hyperlink" Target="https://us.pandora.net/on/demandware.static/-/Sites-pandora-master-catalog/default/dwbb259ca6/productimages/singlepackshot/393658C01_RGB.png" TargetMode="External"/><Relationship Id="rId2281" Type="http://schemas.openxmlformats.org/officeDocument/2006/relationships/hyperlink" Target="https://us.pandora.net/on/demandware.static/-/Sites-pandora-master-catalog/default/dwbb259ca6/productimages/singlepackshot/568748C00_RGB.png" TargetMode="External"/><Relationship Id="rId3125" Type="http://schemas.openxmlformats.org/officeDocument/2006/relationships/hyperlink" Target="https://us.pandora.net/on/demandware.static/-/Sites-pandora-master-catalog/default/dwbb259ca6/productimages/singlepackshot/792336C01_RGB.png" TargetMode="External"/><Relationship Id="rId3332" Type="http://schemas.openxmlformats.org/officeDocument/2006/relationships/hyperlink" Target="https://us.pandora.net/on/demandware.static/-/Sites-pandora-master-catalog/default/dwbb259ca6/productimages/singlepackshot/793840C01_RGB.png" TargetMode="External"/><Relationship Id="rId253" Type="http://schemas.openxmlformats.org/officeDocument/2006/relationships/hyperlink" Target="https://us.pandora.net/on/demandware.static/-/Sites-pandora-master-catalog/default/dwbb259ca6/productimages/singlepackshot/163422C01_RGB.png" TargetMode="External"/><Relationship Id="rId460" Type="http://schemas.openxmlformats.org/officeDocument/2006/relationships/hyperlink" Target="https://us.pandora.net/on/demandware.static/-/Sites-pandora-master-catalog/default/dwbb259ca6/productimages/singlepackshot/163988C00_RGB.png" TargetMode="External"/><Relationship Id="rId698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1090" Type="http://schemas.openxmlformats.org/officeDocument/2006/relationships/hyperlink" Target="https://us.pandora.net/on/demandware.static/-/Sites-pandora-master-catalog/default/dwbb259ca6/productimages/singlepackshot/192835C01_RGB.png" TargetMode="External"/><Relationship Id="rId2141" Type="http://schemas.openxmlformats.org/officeDocument/2006/relationships/hyperlink" Target="https://us.pandora.net/on/demandware.static/-/Sites-pandora-master-catalog/default/dwbb259ca6/productimages/singlepackshot/562731C00_RGB.png" TargetMode="External"/><Relationship Id="rId2379" Type="http://schemas.openxmlformats.org/officeDocument/2006/relationships/hyperlink" Target="https://us.pandora.net/on/demandware.static/-/Sites-pandora-master-catalog/default/dwbb259ca6/productimages/singlepackshot/589217C01_RGB.png" TargetMode="External"/><Relationship Id="rId2586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2793" Type="http://schemas.openxmlformats.org/officeDocument/2006/relationships/hyperlink" Target="https://us.pandora.net/on/demandware.static/-/Sites-pandora-master-catalog/default/dwbb259ca6/productimages/singlepackshot/762716C00_RGB.png" TargetMode="External"/><Relationship Id="rId113" Type="http://schemas.openxmlformats.org/officeDocument/2006/relationships/hyperlink" Target="https://us.pandora.net/on/demandware.static/-/Sites-pandora-master-catalog/default/dwbb259ca6/productimages/singlepackshot/163059C01_RGB.png" TargetMode="External"/><Relationship Id="rId320" Type="http://schemas.openxmlformats.org/officeDocument/2006/relationships/hyperlink" Target="https://us.pandora.net/on/demandware.static/-/Sites-pandora-master-catalog/default/dwbb259ca6/productimages/singlepackshot/163651C01_RGB.png" TargetMode="External"/><Relationship Id="rId558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765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972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188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1395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001" Type="http://schemas.openxmlformats.org/officeDocument/2006/relationships/hyperlink" Target="https://us.pandora.net/on/demandware.static/-/Sites-pandora-master-catalog/default/dwbb259ca6/productimages/singlepackshot/363883C01_RGB.png" TargetMode="External"/><Relationship Id="rId2239" Type="http://schemas.openxmlformats.org/officeDocument/2006/relationships/hyperlink" Target="https://us.pandora.net/on/demandware.static/-/Sites-pandora-master-catalog/default/dwbb259ca6/productimages/singlepackshot/563869C00_RGB.png" TargetMode="External"/><Relationship Id="rId2446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2653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2860" Type="http://schemas.openxmlformats.org/officeDocument/2006/relationships/hyperlink" Target="https://us.pandora.net/on/demandware.static/-/Sites-pandora-master-catalog/default/dwbb259ca6/productimages/singlepackshot/763663C00_RGB.png" TargetMode="External"/><Relationship Id="rId418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625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832" Type="http://schemas.openxmlformats.org/officeDocument/2006/relationships/hyperlink" Target="https://us.pandora.net/on/demandware.static/-/Sites-pandora-master-catalog/default/dwbb259ca6/productimages/singlepackshot/190029C00_RGB.png" TargetMode="External"/><Relationship Id="rId1048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255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1462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2306" Type="http://schemas.openxmlformats.org/officeDocument/2006/relationships/hyperlink" Target="https://us.pandora.net/on/demandware.static/-/Sites-pandora-master-catalog/default/dwbb259ca6/productimages/singlepackshot/569523C00_RGB.png" TargetMode="External"/><Relationship Id="rId2513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2958" Type="http://schemas.openxmlformats.org/officeDocument/2006/relationships/hyperlink" Target="https://us.pandora.net/on/demandware.static/-/Sites-pandora-master-catalog/default/dwbb259ca6/productimages/singlepackshot/769187C01_RGB.png" TargetMode="External"/><Relationship Id="rId1115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322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1767" Type="http://schemas.openxmlformats.org/officeDocument/2006/relationships/hyperlink" Target="https://us.pandora.net/on/demandware.static/-/Sites-pandora-master-catalog/default/dwbb259ca6/productimages/singlepackshot/198898C00_RGB.png" TargetMode="External"/><Relationship Id="rId1974" Type="http://schemas.openxmlformats.org/officeDocument/2006/relationships/hyperlink" Target="https://us.pandora.net/on/demandware.static/-/Sites-pandora-master-catalog/default/dwbb259ca6/productimages/singlepackshot/299239C01_RGB.png" TargetMode="External"/><Relationship Id="rId2720" Type="http://schemas.openxmlformats.org/officeDocument/2006/relationships/hyperlink" Target="https://us.pandora.net/on/demandware.static/-/Sites-pandora-master-catalog/default/dwbb259ca6/productimages/singlepackshot/599285C00_RGB.png" TargetMode="External"/><Relationship Id="rId2818" Type="http://schemas.openxmlformats.org/officeDocument/2006/relationships/hyperlink" Target="https://us.pandora.net/on/demandware.static/-/Sites-pandora-master-catalog/default/dwbb259ca6/productimages/singlepackshot/763348C01_RGB.png" TargetMode="External"/><Relationship Id="rId59" Type="http://schemas.openxmlformats.org/officeDocument/2006/relationships/hyperlink" Target="https://us.pandora.net/on/demandware.static/-/Sites-pandora-master-catalog/default/dwbb259ca6/productimages/singlepackshot/162392C01_RGB.png" TargetMode="External"/><Relationship Id="rId1627" Type="http://schemas.openxmlformats.org/officeDocument/2006/relationships/hyperlink" Target="https://us.pandora.net/on/demandware.static/-/Sites-pandora-master-catalog/default/dwbb259ca6/productimages/singlepackshot/196250CZ_RGB.png" TargetMode="External"/><Relationship Id="rId1834" Type="http://schemas.openxmlformats.org/officeDocument/2006/relationships/hyperlink" Target="https://us.pandora.net/on/demandware.static/-/Sites-pandora-master-catalog/default/dwbb259ca6/productimages/singlepackshot/263295C01_RGB.png" TargetMode="External"/><Relationship Id="rId3287" Type="http://schemas.openxmlformats.org/officeDocument/2006/relationships/hyperlink" Target="https://us.pandora.net/on/demandware.static/-/Sites-pandora-master-catalog/default/dwbb259ca6/productimages/singlepackshot/793598C01_RGB.png" TargetMode="External"/><Relationship Id="rId2096" Type="http://schemas.openxmlformats.org/officeDocument/2006/relationships/hyperlink" Target="https://us.pandora.net/on/demandware.static/-/Sites-pandora-master-catalog/default/dwbb259ca6/productimages/singlepackshot/396241CZ_RGB.png" TargetMode="External"/><Relationship Id="rId3494" Type="http://schemas.openxmlformats.org/officeDocument/2006/relationships/hyperlink" Target="https://us.pandora.net/on/demandware.static/-/Sites-pandora-master-catalog/default/dwbb259ca6/productimages/singlepackshot/798763C00_RGB.png" TargetMode="External"/><Relationship Id="rId1901" Type="http://schemas.openxmlformats.org/officeDocument/2006/relationships/hyperlink" Target="https://us.pandora.net/on/demandware.static/-/Sites-pandora-master-catalog/default/dwbb259ca6/productimages/singlepackshot/292334C09_RGB.png" TargetMode="External"/><Relationship Id="rId3147" Type="http://schemas.openxmlformats.org/officeDocument/2006/relationships/hyperlink" Target="https://us.pandora.net/on/demandware.static/-/Sites-pandora-master-catalog/default/dwbb259ca6/productimages/singlepackshot/792643C01_RGB.png" TargetMode="External"/><Relationship Id="rId3354" Type="http://schemas.openxmlformats.org/officeDocument/2006/relationships/hyperlink" Target="https://us.pandora.net/on/demandware.static/-/Sites-pandora-master-catalog/default/dwbb259ca6/productimages/singlepackshot/793926C02_RGB.png" TargetMode="External"/><Relationship Id="rId275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482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2163" Type="http://schemas.openxmlformats.org/officeDocument/2006/relationships/hyperlink" Target="https://us.pandora.net/on/demandware.static/-/Sites-pandora-master-catalog/default/dwbb259ca6/productimages/singlepackshot/563173C01_RGB.png" TargetMode="External"/><Relationship Id="rId2370" Type="http://schemas.openxmlformats.org/officeDocument/2006/relationships/hyperlink" Target="https://us.pandora.net/on/demandware.static/-/Sites-pandora-master-catalog/default/dwbb259ca6/productimages/singlepackshot/589046C01_RGB.png" TargetMode="External"/><Relationship Id="rId3007" Type="http://schemas.openxmlformats.org/officeDocument/2006/relationships/hyperlink" Target="https://us.pandora.net/on/demandware.static/-/Sites-pandora-master-catalog/default/dwbb259ca6/productimages/singlepackshot/788809C01_RGB.png" TargetMode="External"/><Relationship Id="rId3214" Type="http://schemas.openxmlformats.org/officeDocument/2006/relationships/hyperlink" Target="https://us.pandora.net/on/demandware.static/-/Sites-pandora-master-catalog/default/dwbb259ca6/productimages/singlepackshot/793125C10_RGB.png" TargetMode="External"/><Relationship Id="rId3421" Type="http://schemas.openxmlformats.org/officeDocument/2006/relationships/hyperlink" Target="https://us.pandora.net/on/demandware.static/-/Sites-pandora-master-catalog/default/dwbb259ca6/productimages/singlepackshot/797261CZ_RGB.png" TargetMode="External"/><Relationship Id="rId135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342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787" Type="http://schemas.openxmlformats.org/officeDocument/2006/relationships/hyperlink" Target="https://us.pandora.net/on/demandware.static/-/Sites-pandora-master-catalog/default/dwbb259ca6/productimages/singlepackshot/188862C01_RGB.png" TargetMode="External"/><Relationship Id="rId994" Type="http://schemas.openxmlformats.org/officeDocument/2006/relationships/hyperlink" Target="https://us.pandora.net/on/demandware.static/-/Sites-pandora-master-catalog/default/dwbb259ca6/productimages/singlepackshot/192365C01_RGB.png" TargetMode="External"/><Relationship Id="rId2023" Type="http://schemas.openxmlformats.org/officeDocument/2006/relationships/hyperlink" Target="https://us.pandora.net/on/demandware.static/-/Sites-pandora-master-catalog/default/dwbb259ca6/productimages/singlepackshot/382234C00_RGB.png" TargetMode="External"/><Relationship Id="rId2230" Type="http://schemas.openxmlformats.org/officeDocument/2006/relationships/hyperlink" Target="https://us.pandora.net/on/demandware.static/-/Sites-pandora-master-catalog/default/dwbb259ca6/productimages/singlepackshot/563830C01_RGB.png" TargetMode="External"/><Relationship Id="rId2468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2675" Type="http://schemas.openxmlformats.org/officeDocument/2006/relationships/hyperlink" Target="https://us.pandora.net/on/demandware.static/-/Sites-pandora-master-catalog/default/dwbb259ca6/productimages/singlepackshot/598342CZ_RGB.png" TargetMode="External"/><Relationship Id="rId2882" Type="http://schemas.openxmlformats.org/officeDocument/2006/relationships/hyperlink" Target="https://us.pandora.net/on/demandware.static/-/Sites-pandora-master-catalog/default/dwbb259ca6/productimages/singlepackshot/763902C01_RGB.png" TargetMode="External"/><Relationship Id="rId3519" Type="http://schemas.openxmlformats.org/officeDocument/2006/relationships/hyperlink" Target="https://us.pandora.net/on/demandware.static/-/Sites-pandora-master-catalog/default/dwbb259ca6/productimages/singlepackshot/799088C00_RGB.png" TargetMode="External"/><Relationship Id="rId202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647" Type="http://schemas.openxmlformats.org/officeDocument/2006/relationships/hyperlink" Target="https://us.pandora.net/on/demandware.static/-/Sites-pandora-master-catalog/default/dwbb259ca6/productimages/singlepackshot/182528C01_RGB.png" TargetMode="External"/><Relationship Id="rId854" Type="http://schemas.openxmlformats.org/officeDocument/2006/relationships/hyperlink" Target="https://us.pandora.net/on/demandware.static/-/Sites-pandora-master-catalog/default/dwbb259ca6/productimages/singlepackshot/190050C02_RGB.png" TargetMode="External"/><Relationship Id="rId1277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1484" Type="http://schemas.openxmlformats.org/officeDocument/2006/relationships/hyperlink" Target="https://us.pandora.net/on/demandware.static/-/Sites-pandora-master-catalog/default/dwbb259ca6/productimages/singlepackshot/193659C01_RGB.png" TargetMode="External"/><Relationship Id="rId1691" Type="http://schemas.openxmlformats.org/officeDocument/2006/relationships/hyperlink" Target="https://us.pandora.net/on/demandware.static/-/Sites-pandora-master-catalog/default/dwbb259ca6/productimages/singlepackshot/198282CZ_RGB.png" TargetMode="External"/><Relationship Id="rId2328" Type="http://schemas.openxmlformats.org/officeDocument/2006/relationships/hyperlink" Target="https://us.pandora.net/on/demandware.static/-/Sites-pandora-master-catalog/default/dwbb259ca6/productimages/singlepackshot/580719_RGB.png" TargetMode="External"/><Relationship Id="rId2535" Type="http://schemas.openxmlformats.org/officeDocument/2006/relationships/hyperlink" Target="https://us.pandora.net/on/demandware.static/-/Sites-pandora-master-catalog/default/dwbb259ca6/productimages/singlepackshot/592819C01_RGB.png" TargetMode="External"/><Relationship Id="rId2742" Type="http://schemas.openxmlformats.org/officeDocument/2006/relationships/hyperlink" Target="https://us.pandora.net/on/demandware.static/-/Sites-pandora-master-catalog/default/dwbb259ca6/productimages/singlepackshot/599539C00_RGB.png" TargetMode="External"/><Relationship Id="rId507" Type="http://schemas.openxmlformats.org/officeDocument/2006/relationships/hyperlink" Target="https://us.pandora.net/on/demandware.static/-/Sites-pandora-master-catalog/default/dwbb259ca6/productimages/singlepackshot/167736C01_RGB.png" TargetMode="External"/><Relationship Id="rId714" Type="http://schemas.openxmlformats.org/officeDocument/2006/relationships/hyperlink" Target="https://us.pandora.net/on/demandware.static/-/Sites-pandora-master-catalog/default/dwbb259ca6/productimages/singlepackshot/186251CZ_RGB.png" TargetMode="External"/><Relationship Id="rId921" Type="http://schemas.openxmlformats.org/officeDocument/2006/relationships/hyperlink" Target="https://us.pandora.net/on/demandware.static/-/Sites-pandora-master-catalog/default/dwbb259ca6/productimages/singlepackshot/190980_RGB.png" TargetMode="External"/><Relationship Id="rId1137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1344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1551" Type="http://schemas.openxmlformats.org/officeDocument/2006/relationships/hyperlink" Target="https://us.pandora.net/on/demandware.static/-/Sites-pandora-master-catalog/default/dwbb259ca6/productimages/singlepackshot/193986C00_RGB.png" TargetMode="External"/><Relationship Id="rId1789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1996" Type="http://schemas.openxmlformats.org/officeDocument/2006/relationships/hyperlink" Target="https://us.pandora.net/on/demandware.static/-/Sites-pandora-master-catalog/default/dwbb259ca6/productimages/singlepackshot/363416C00_RGB.png" TargetMode="External"/><Relationship Id="rId2602" Type="http://schemas.openxmlformats.org/officeDocument/2006/relationships/hyperlink" Target="https://us.pandora.net/on/demandware.static/-/Sites-pandora-master-catalog/default/dwbb259ca6/productimages/singlepackshot/593738C01_RGB.png" TargetMode="External"/><Relationship Id="rId50" Type="http://schemas.openxmlformats.org/officeDocument/2006/relationships/hyperlink" Target="https://us.pandora.net/on/demandware.static/-/Sites-pandora-master-catalog/default/dwbb259ca6/productimages/singlepackshot/162333C01_RGB.png" TargetMode="External"/><Relationship Id="rId1204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1411" Type="http://schemas.openxmlformats.org/officeDocument/2006/relationships/hyperlink" Target="https://us.pandora.net/on/demandware.static/-/Sites-pandora-master-catalog/default/dwbb259ca6/productimages/singlepackshot/193555C02_RGB.png" TargetMode="External"/><Relationship Id="rId1649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856" Type="http://schemas.openxmlformats.org/officeDocument/2006/relationships/hyperlink" Target="https://us.pandora.net/on/demandware.static/-/Sites-pandora-master-catalog/default/dwbb259ca6/productimages/singlepackshot/263878C00_RGB.png" TargetMode="External"/><Relationship Id="rId2907" Type="http://schemas.openxmlformats.org/officeDocument/2006/relationships/hyperlink" Target="https://us.pandora.net/on/demandware.static/-/Sites-pandora-master-catalog/default/dwbb259ca6/productimages/singlepackshot/763968C00_RGB.png" TargetMode="External"/><Relationship Id="rId3071" Type="http://schemas.openxmlformats.org/officeDocument/2006/relationships/hyperlink" Target="https://us.pandora.net/on/demandware.static/-/Sites-pandora-master-catalog/default/dwbb259ca6/productimages/singlepackshot/791691C04_RGB.png" TargetMode="External"/><Relationship Id="rId1509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716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923" Type="http://schemas.openxmlformats.org/officeDocument/2006/relationships/hyperlink" Target="https://us.pandora.net/on/demandware.static/-/Sites-pandora-master-catalog/default/dwbb259ca6/productimages/singlepackshot/293154C01_RGB.png" TargetMode="External"/><Relationship Id="rId3169" Type="http://schemas.openxmlformats.org/officeDocument/2006/relationships/hyperlink" Target="https://us.pandora.net/on/demandware.static/-/Sites-pandora-master-catalog/default/dwbb259ca6/productimages/singlepackshot/792820C01_RGB.png" TargetMode="External"/><Relationship Id="rId3376" Type="http://schemas.openxmlformats.org/officeDocument/2006/relationships/hyperlink" Target="https://us.pandora.net/on/demandware.static/-/Sites-pandora-master-catalog/default/dwbb259ca6/productimages/singlepackshot/794060C01_RGB.png" TargetMode="External"/><Relationship Id="rId297" Type="http://schemas.openxmlformats.org/officeDocument/2006/relationships/hyperlink" Target="https://us.pandora.net/on/demandware.static/-/Sites-pandora-master-catalog/default/dwbb259ca6/productimages/singlepackshot/163555C01_RGB.png" TargetMode="External"/><Relationship Id="rId2185" Type="http://schemas.openxmlformats.org/officeDocument/2006/relationships/hyperlink" Target="https://us.pandora.net/on/demandware.static/-/Sites-pandora-master-catalog/default/dwbb259ca6/productimages/singlepackshot/563516C01_RGB.png" TargetMode="External"/><Relationship Id="rId2392" Type="http://schemas.openxmlformats.org/officeDocument/2006/relationships/hyperlink" Target="https://us.pandora.net/on/demandware.static/-/Sites-pandora-master-catalog/default/dwbb259ca6/productimages/singlepackshot/589662C00_RGB.png" TargetMode="External"/><Relationship Id="rId3029" Type="http://schemas.openxmlformats.org/officeDocument/2006/relationships/hyperlink" Target="https://us.pandora.net/on/demandware.static/-/Sites-pandora-master-catalog/default/dwbb259ca6/productimages/singlepackshot/790071C00_RGB.png" TargetMode="External"/><Relationship Id="rId3236" Type="http://schemas.openxmlformats.org/officeDocument/2006/relationships/hyperlink" Target="https://us.pandora.net/on/demandware.static/-/Sites-pandora-master-catalog/default/dwbb259ca6/productimages/singlepackshot/793339C01_RGB.png" TargetMode="External"/><Relationship Id="rId157" Type="http://schemas.openxmlformats.org/officeDocument/2006/relationships/hyperlink" Target="https://us.pandora.net/on/demandware.static/-/Sites-pandora-master-catalog/default/dwbb259ca6/productimages/singlepackshot/163156C01_RGB.png" TargetMode="External"/><Relationship Id="rId364" Type="http://schemas.openxmlformats.org/officeDocument/2006/relationships/hyperlink" Target="https://us.pandora.net/on/demandware.static/-/Sites-pandora-master-catalog/default/dwbb259ca6/productimages/singlepackshot/163797C01_RGB.png" TargetMode="External"/><Relationship Id="rId2045" Type="http://schemas.openxmlformats.org/officeDocument/2006/relationships/hyperlink" Target="https://us.pandora.net/on/demandware.static/-/Sites-pandora-master-catalog/default/dwbb259ca6/productimages/singlepackshot/392799C00_RGB.png" TargetMode="External"/><Relationship Id="rId2697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3443" Type="http://schemas.openxmlformats.org/officeDocument/2006/relationships/hyperlink" Target="https://us.pandora.net/on/demandware.static/-/Sites-pandora-master-catalog/default/dwbb259ca6/productimages/singlepackshot/797474_RGB.png" TargetMode="External"/><Relationship Id="rId571" Type="http://schemas.openxmlformats.org/officeDocument/2006/relationships/hyperlink" Target="https://us.pandora.net/on/demandware.static/-/Sites-pandora-master-catalog/default/dwbb259ca6/productimages/singlepackshot/168898C00_RGB.png" TargetMode="External"/><Relationship Id="rId669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876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1299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2252" Type="http://schemas.openxmlformats.org/officeDocument/2006/relationships/hyperlink" Target="https://us.pandora.net/on/demandware.static/-/Sites-pandora-master-catalog/default/dwbb259ca6/productimages/singlepackshot/564028C00_RGB.png" TargetMode="External"/><Relationship Id="rId2557" Type="http://schemas.openxmlformats.org/officeDocument/2006/relationships/hyperlink" Target="https://us.pandora.net/on/demandware.static/-/Sites-pandora-master-catalog/default/dwbb259ca6/productimages/singlepackshot/593317C00_RGB.png" TargetMode="External"/><Relationship Id="rId3303" Type="http://schemas.openxmlformats.org/officeDocument/2006/relationships/hyperlink" Target="https://us.pandora.net/on/demandware.static/-/Sites-pandora-master-catalog/default/dwbb259ca6/productimages/singlepackshot/793693C00_RGB.png" TargetMode="External"/><Relationship Id="rId3510" Type="http://schemas.openxmlformats.org/officeDocument/2006/relationships/hyperlink" Target="https://us.pandora.net/on/demandware.static/-/Sites-pandora-master-catalog/default/dwbb259ca6/productimages/singlepackshot/798927C00_RGB.png" TargetMode="External"/><Relationship Id="rId224" Type="http://schemas.openxmlformats.org/officeDocument/2006/relationships/hyperlink" Target="https://us.pandora.net/on/demandware.static/-/Sites-pandora-master-catalog/default/dwbb259ca6/productimages/singlepackshot/163318C00_RGB.png" TargetMode="External"/><Relationship Id="rId431" Type="http://schemas.openxmlformats.org/officeDocument/2006/relationships/hyperlink" Target="https://us.pandora.net/on/demandware.static/-/Sites-pandora-master-catalog/default/dwbb259ca6/productimages/singlepackshot/163888C00_RGB.png" TargetMode="External"/><Relationship Id="rId529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736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1061" Type="http://schemas.openxmlformats.org/officeDocument/2006/relationships/hyperlink" Target="https://us.pandora.net/on/demandware.static/-/Sites-pandora-master-catalog/default/dwbb259ca6/productimages/singlepackshot/192627C01_RGB.png" TargetMode="External"/><Relationship Id="rId1159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366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2112" Type="http://schemas.openxmlformats.org/officeDocument/2006/relationships/hyperlink" Target="https://us.pandora.net/on/demandware.static/-/Sites-pandora-master-catalog/default/dwbb259ca6/productimages/singlepackshot/399590C00_RGB.png" TargetMode="External"/><Relationship Id="rId2417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764" Type="http://schemas.openxmlformats.org/officeDocument/2006/relationships/hyperlink" Target="https://us.pandora.net/on/demandware.static/-/Sites-pandora-master-catalog/default/dwbb259ca6/productimages/singlepackshot/752605C01_RGB.png" TargetMode="External"/><Relationship Id="rId2971" Type="http://schemas.openxmlformats.org/officeDocument/2006/relationships/hyperlink" Target="https://us.pandora.net/on/demandware.static/-/Sites-pandora-master-catalog/default/dwbb259ca6/productimages/singlepackshot/781682C01_RGB.png" TargetMode="External"/><Relationship Id="rId943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019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573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1780" Type="http://schemas.openxmlformats.org/officeDocument/2006/relationships/hyperlink" Target="https://us.pandora.net/on/demandware.static/-/Sites-pandora-master-catalog/default/dwbb259ca6/productimages/singlepackshot/199267C02_RGB.png" TargetMode="External"/><Relationship Id="rId1878" Type="http://schemas.openxmlformats.org/officeDocument/2006/relationships/hyperlink" Target="https://us.pandora.net/on/demandware.static/-/Sites-pandora-master-catalog/default/dwbb259ca6/productimages/singlepackshot/290012C01_RGB.png" TargetMode="External"/><Relationship Id="rId2624" Type="http://schemas.openxmlformats.org/officeDocument/2006/relationships/hyperlink" Target="https://us.pandora.net/on/demandware.static/-/Sites-pandora-master-catalog/default/dwbb259ca6/productimages/singlepackshot/593853C00_RGB.png" TargetMode="External"/><Relationship Id="rId2831" Type="http://schemas.openxmlformats.org/officeDocument/2006/relationships/hyperlink" Target="https://us.pandora.net/on/demandware.static/-/Sites-pandora-master-catalog/default/dwbb259ca6/productimages/singlepackshot/763417C01_RGB.png" TargetMode="External"/><Relationship Id="rId2929" Type="http://schemas.openxmlformats.org/officeDocument/2006/relationships/hyperlink" Target="https://us.pandora.net/on/demandware.static/-/Sites-pandora-master-catalog/default/dwbb259ca6/productimages/singlepackshot/764081C01_RGB.png" TargetMode="External"/><Relationship Id="rId72" Type="http://schemas.openxmlformats.org/officeDocument/2006/relationships/hyperlink" Target="https://us.pandora.net/on/demandware.static/-/Sites-pandora-master-catalog/default/dwbb259ca6/productimages/singlepackshot/162627C01_RGB.png" TargetMode="External"/><Relationship Id="rId803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1226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433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1640" Type="http://schemas.openxmlformats.org/officeDocument/2006/relationships/hyperlink" Target="https://us.pandora.net/on/demandware.static/-/Sites-pandora-master-catalog/default/dwbb259ca6/productimages/singlepackshot/196314_RGB.png" TargetMode="External"/><Relationship Id="rId1738" Type="http://schemas.openxmlformats.org/officeDocument/2006/relationships/hyperlink" Target="https://us.pandora.net/on/demandware.static/-/Sites-pandora-master-catalog/default/dwbb259ca6/productimages/singlepackshot/198421C06_RGB.png" TargetMode="External"/><Relationship Id="rId3093" Type="http://schemas.openxmlformats.org/officeDocument/2006/relationships/hyperlink" Target="https://us.pandora.net/on/demandware.static/-/Sites-pandora-master-catalog/default/dwbb259ca6/productimages/singlepackshot/791993CZ_RGB.png" TargetMode="External"/><Relationship Id="rId1500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1945" Type="http://schemas.openxmlformats.org/officeDocument/2006/relationships/hyperlink" Target="https://us.pandora.net/on/demandware.static/-/Sites-pandora-master-catalog/default/dwbb259ca6/productimages/singlepackshot/293547C01_RGB.png" TargetMode="External"/><Relationship Id="rId3160" Type="http://schemas.openxmlformats.org/officeDocument/2006/relationships/hyperlink" Target="https://us.pandora.net/on/demandware.static/-/Sites-pandora-master-catalog/default/dwbb259ca6/productimages/singlepackshot/792746C00_RGB.png" TargetMode="External"/><Relationship Id="rId3398" Type="http://schemas.openxmlformats.org/officeDocument/2006/relationships/hyperlink" Target="https://us.pandora.net/on/demandware.static/-/Sites-pandora-master-catalog/default/dwbb259ca6/productimages/singlepackshot/794240C01_RGB.png" TargetMode="External"/><Relationship Id="rId1805" Type="http://schemas.openxmlformats.org/officeDocument/2006/relationships/hyperlink" Target="https://us.pandora.net/on/demandware.static/-/Sites-pandora-master-catalog/default/dwbb259ca6/productimages/singlepackshot/199679C01_RGB.png" TargetMode="External"/><Relationship Id="rId3020" Type="http://schemas.openxmlformats.org/officeDocument/2006/relationships/hyperlink" Target="https://us.pandora.net/on/demandware.static/-/Sites-pandora-master-catalog/default/dwbb259ca6/productimages/singlepackshot/789643C01_RGB.png" TargetMode="External"/><Relationship Id="rId3258" Type="http://schemas.openxmlformats.org/officeDocument/2006/relationships/hyperlink" Target="https://us.pandora.net/on/demandware.static/-/Sites-pandora-master-catalog/default/dwbb259ca6/productimages/singlepackshot/793440C00_RGB.png" TargetMode="External"/><Relationship Id="rId3465" Type="http://schemas.openxmlformats.org/officeDocument/2006/relationships/hyperlink" Target="https://us.pandora.net/on/demandware.static/-/Sites-pandora-master-catalog/default/dwbb259ca6/productimages/singlepackshot/798063EN124_RGB.png" TargetMode="External"/><Relationship Id="rId179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386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593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2067" Type="http://schemas.openxmlformats.org/officeDocument/2006/relationships/hyperlink" Target="https://us.pandora.net/on/demandware.static/-/Sites-pandora-master-catalog/default/dwbb259ca6/productimages/singlepackshot/393529C00_RGB.png" TargetMode="External"/><Relationship Id="rId2274" Type="http://schemas.openxmlformats.org/officeDocument/2006/relationships/hyperlink" Target="https://us.pandora.net/on/demandware.static/-/Sites-pandora-master-catalog/default/dwbb259ca6/productimages/singlepackshot/568707C00_RGB.png" TargetMode="External"/><Relationship Id="rId2481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3118" Type="http://schemas.openxmlformats.org/officeDocument/2006/relationships/hyperlink" Target="https://us.pandora.net/on/demandware.static/-/Sites-pandora-master-catalog/default/dwbb259ca6/productimages/singlepackshot/792247C01_RGB.png" TargetMode="External"/><Relationship Id="rId3325" Type="http://schemas.openxmlformats.org/officeDocument/2006/relationships/hyperlink" Target="https://us.pandora.net/on/demandware.static/-/Sites-pandora-master-catalog/default/dwbb259ca6/productimages/singlepackshot/793789C01_RGB.png" TargetMode="External"/><Relationship Id="rId3532" Type="http://schemas.openxmlformats.org/officeDocument/2006/relationships/hyperlink" Target="https://us.pandora.net/on/demandware.static/-/Sites-pandora-master-catalog/default/dwbb259ca6/productimages/singlepackshot/799294C01_RGB.png" TargetMode="External"/><Relationship Id="rId246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453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660" Type="http://schemas.openxmlformats.org/officeDocument/2006/relationships/hyperlink" Target="https://us.pandora.net/on/demandware.static/-/Sites-pandora-master-catalog/default/dwbb259ca6/productimages/singlepackshot/182629C01_RGB.png" TargetMode="External"/><Relationship Id="rId898" Type="http://schemas.openxmlformats.org/officeDocument/2006/relationships/hyperlink" Target="https://us.pandora.net/on/demandware.static/-/Sites-pandora-master-catalog/default/dwbb259ca6/productimages/singlepackshot/190919CZ_RGB.png" TargetMode="External"/><Relationship Id="rId1083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1290" Type="http://schemas.openxmlformats.org/officeDocument/2006/relationships/hyperlink" Target="https://us.pandora.net/on/demandware.static/-/Sites-pandora-master-catalog/default/dwbb259ca6/productimages/singlepackshot/193158C01_RGB.png" TargetMode="External"/><Relationship Id="rId2134" Type="http://schemas.openxmlformats.org/officeDocument/2006/relationships/hyperlink" Target="https://us.pandora.net/on/demandware.static/-/Sites-pandora-master-catalog/default/dwbb259ca6/productimages/singlepackshot/561469C02_RGB.png" TargetMode="External"/><Relationship Id="rId2341" Type="http://schemas.openxmlformats.org/officeDocument/2006/relationships/hyperlink" Target="https://us.pandora.net/on/demandware.static/-/Sites-pandora-master-catalog/default/dwbb259ca6/productimages/singlepackshot/581469C02_RGB.png" TargetMode="External"/><Relationship Id="rId2579" Type="http://schemas.openxmlformats.org/officeDocument/2006/relationships/hyperlink" Target="https://us.pandora.net/on/demandware.static/-/Sites-pandora-master-catalog/default/dwbb259ca6/productimages/singlepackshot/593572C01_RGB.png" TargetMode="External"/><Relationship Id="rId2786" Type="http://schemas.openxmlformats.org/officeDocument/2006/relationships/hyperlink" Target="https://us.pandora.net/on/demandware.static/-/Sites-pandora-master-catalog/default/dwbb259ca6/productimages/singlepackshot/762699C01_RGB.png" TargetMode="External"/><Relationship Id="rId2993" Type="http://schemas.openxmlformats.org/officeDocument/2006/relationships/hyperlink" Target="https://us.pandora.net/on/demandware.static/-/Sites-pandora-master-catalog/default/dwbb259ca6/productimages/singlepackshot/783080C01_RGB.png" TargetMode="External"/><Relationship Id="rId106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13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758" Type="http://schemas.openxmlformats.org/officeDocument/2006/relationships/hyperlink" Target="https://us.pandora.net/on/demandware.static/-/Sites-pandora-master-catalog/default/dwbb259ca6/productimages/singlepackshot/188421C02_RGB.png" TargetMode="External"/><Relationship Id="rId965" Type="http://schemas.openxmlformats.org/officeDocument/2006/relationships/hyperlink" Target="https://us.pandora.net/on/demandware.static/-/Sites-pandora-master-catalog/default/dwbb259ca6/productimages/singlepackshot/192232C01_RGB.png" TargetMode="External"/><Relationship Id="rId1150" Type="http://schemas.openxmlformats.org/officeDocument/2006/relationships/hyperlink" Target="https://us.pandora.net/on/demandware.static/-/Sites-pandora-master-catalog/default/dwbb259ca6/productimages/singlepackshot/192999C01_RGB.png" TargetMode="External"/><Relationship Id="rId1388" Type="http://schemas.openxmlformats.org/officeDocument/2006/relationships/hyperlink" Target="https://us.pandora.net/on/demandware.static/-/Sites-pandora-master-catalog/default/dwbb259ca6/productimages/singlepackshot/193552C01_RGB.png" TargetMode="External"/><Relationship Id="rId1595" Type="http://schemas.openxmlformats.org/officeDocument/2006/relationships/hyperlink" Target="https://us.pandora.net/on/demandware.static/-/Sites-pandora-master-catalog/default/dwbb259ca6/productimages/singlepackshot/194269C01_RGB.png" TargetMode="External"/><Relationship Id="rId2439" Type="http://schemas.openxmlformats.org/officeDocument/2006/relationships/hyperlink" Target="https://us.pandora.net/on/demandware.static/-/Sites-pandora-master-catalog/default/dwbb259ca6/productimages/singlepackshot/590719_RGB.png" TargetMode="External"/><Relationship Id="rId2646" Type="http://schemas.openxmlformats.org/officeDocument/2006/relationships/hyperlink" Target="https://us.pandora.net/on/demandware.static/-/Sites-pandora-master-catalog/default/dwbb259ca6/productimages/singlepackshot/594227C01_RGB.png" TargetMode="External"/><Relationship Id="rId2853" Type="http://schemas.openxmlformats.org/officeDocument/2006/relationships/hyperlink" Target="https://us.pandora.net/on/demandware.static/-/Sites-pandora-master-catalog/default/dwbb259ca6/productimages/singlepackshot/763604C01_RGB.png" TargetMode="External"/><Relationship Id="rId94" Type="http://schemas.openxmlformats.org/officeDocument/2006/relationships/hyperlink" Target="https://us.pandora.net/on/demandware.static/-/Sites-pandora-master-catalog/default/dwbb259ca6/productimages/singlepackshot/162800C01_RGB.png" TargetMode="External"/><Relationship Id="rId520" Type="http://schemas.openxmlformats.org/officeDocument/2006/relationships/hyperlink" Target="https://us.pandora.net/on/demandware.static/-/Sites-pandora-master-catalog/default/dwbb259ca6/productimages/singlepackshot/168289C02_RGB.png" TargetMode="External"/><Relationship Id="rId618" Type="http://schemas.openxmlformats.org/officeDocument/2006/relationships/hyperlink" Target="https://us.pandora.net/on/demandware.static/-/Sites-pandora-master-catalog/default/dwbb259ca6/productimages/singlepackshot/180919CZ_RGB.png" TargetMode="External"/><Relationship Id="rId825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1248" Type="http://schemas.openxmlformats.org/officeDocument/2006/relationships/hyperlink" Target="https://us.pandora.net/on/demandware.static/-/Sites-pandora-master-catalog/default/dwbb259ca6/productimages/singlepackshot/193100C01_RGB.png" TargetMode="External"/><Relationship Id="rId1455" Type="http://schemas.openxmlformats.org/officeDocument/2006/relationships/hyperlink" Target="https://us.pandora.net/on/demandware.static/-/Sites-pandora-master-catalog/default/dwbb259ca6/productimages/singlepackshot/193619C01_RGB.png" TargetMode="External"/><Relationship Id="rId1662" Type="http://schemas.openxmlformats.org/officeDocument/2006/relationships/hyperlink" Target="https://us.pandora.net/on/demandware.static/-/Sites-pandora-master-catalog/default/dwbb259ca6/productimages/singlepackshot/196574CZRMX_RGB.png" TargetMode="External"/><Relationship Id="rId2201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2506" Type="http://schemas.openxmlformats.org/officeDocument/2006/relationships/hyperlink" Target="https://us.pandora.net/on/demandware.static/-/Sites-pandora-master-catalog/default/dwbb259ca6/productimages/singlepackshot/592340C00_RGB.png" TargetMode="External"/><Relationship Id="rId1010" Type="http://schemas.openxmlformats.org/officeDocument/2006/relationships/hyperlink" Target="https://us.pandora.net/on/demandware.static/-/Sites-pandora-master-catalog/default/dwbb259ca6/productimages/singlepackshot/192391C01_RGB.png" TargetMode="External"/><Relationship Id="rId1108" Type="http://schemas.openxmlformats.org/officeDocument/2006/relationships/hyperlink" Target="https://us.pandora.net/on/demandware.static/-/Sites-pandora-master-catalog/default/dwbb259ca6/productimages/singlepackshot/192993C03_RGB.png" TargetMode="External"/><Relationship Id="rId1315" Type="http://schemas.openxmlformats.org/officeDocument/2006/relationships/hyperlink" Target="https://us.pandora.net/on/demandware.static/-/Sites-pandora-master-catalog/default/dwbb259ca6/productimages/singlepackshot/193314C00_RGB.png" TargetMode="External"/><Relationship Id="rId1967" Type="http://schemas.openxmlformats.org/officeDocument/2006/relationships/hyperlink" Target="https://us.pandora.net/on/demandware.static/-/Sites-pandora-master-catalog/default/dwbb259ca6/productimages/singlepackshot/296319CZ_RGB.png" TargetMode="External"/><Relationship Id="rId2713" Type="http://schemas.openxmlformats.org/officeDocument/2006/relationships/hyperlink" Target="https://us.pandora.net/on/demandware.static/-/Sites-pandora-master-catalog/default/dwbb259ca6/productimages/singlepackshot/599206C00_RGB.png" TargetMode="External"/><Relationship Id="rId2920" Type="http://schemas.openxmlformats.org/officeDocument/2006/relationships/hyperlink" Target="https://us.pandora.net/on/demandware.static/-/Sites-pandora-master-catalog/default/dwbb259ca6/productimages/singlepackshot/764045C00_RGB.png" TargetMode="External"/><Relationship Id="rId1522" Type="http://schemas.openxmlformats.org/officeDocument/2006/relationships/hyperlink" Target="https://us.pandora.net/on/demandware.static/-/Sites-pandora-master-catalog/default/dwbb259ca6/productimages/singlepackshot/193801C01_RGB.png" TargetMode="External"/><Relationship Id="rId21" Type="http://schemas.openxmlformats.org/officeDocument/2006/relationships/hyperlink" Target="https://us.pandora.net/on/demandware.static/-/Sites-pandora-master-catalog/default/dwbb259ca6/productimages/singlepackshot/161198C01_RGB.png" TargetMode="External"/><Relationship Id="rId2089" Type="http://schemas.openxmlformats.org/officeDocument/2006/relationships/hyperlink" Target="https://us.pandora.net/on/demandware.static/-/Sites-pandora-master-catalog/default/dwbb259ca6/productimages/singlepackshot/394086C01_RGB.png" TargetMode="External"/><Relationship Id="rId3487" Type="http://schemas.openxmlformats.org/officeDocument/2006/relationships/hyperlink" Target="https://us.pandora.net/on/demandware.static/-/Sites-pandora-master-catalog/default/dwbb259ca6/productimages/singlepackshot/798434C01_RGB.png" TargetMode="External"/><Relationship Id="rId2296" Type="http://schemas.openxmlformats.org/officeDocument/2006/relationships/hyperlink" Target="https://us.pandora.net/on/demandware.static/-/Sites-pandora-master-catalog/default/dwbb259ca6/productimages/singlepackshot/569285C00_RGB.png" TargetMode="External"/><Relationship Id="rId3347" Type="http://schemas.openxmlformats.org/officeDocument/2006/relationships/hyperlink" Target="https://us.pandora.net/on/demandware.static/-/Sites-pandora-master-catalog/default/dwbb259ca6/productimages/singlepackshot/793909C00_RGB.png" TargetMode="External"/><Relationship Id="rId3554" Type="http://schemas.openxmlformats.org/officeDocument/2006/relationships/hyperlink" Target="https://us.pandora.net/on/demandware.static/-/Sites-pandora-master-catalog/default/dwbb259ca6/productimages/singlepackshot/799645C01_RGB.png" TargetMode="External"/><Relationship Id="rId268" Type="http://schemas.openxmlformats.org/officeDocument/2006/relationships/hyperlink" Target="https://us.pandora.net/on/demandware.static/-/Sites-pandora-master-catalog/default/dwbb259ca6/productimages/singlepackshot/163510C01_RGB.png" TargetMode="External"/><Relationship Id="rId475" Type="http://schemas.openxmlformats.org/officeDocument/2006/relationships/hyperlink" Target="https://us.pandora.net/on/demandware.static/-/Sites-pandora-master-catalog/default/dwbb259ca6/productimages/singlepackshot/164211C01_RGB.png" TargetMode="External"/><Relationship Id="rId682" Type="http://schemas.openxmlformats.org/officeDocument/2006/relationships/hyperlink" Target="https://us.pandora.net/on/demandware.static/-/Sites-pandora-master-catalog/default/dwbb259ca6/productimages/singlepackshot/182999C01_RGB.png" TargetMode="External"/><Relationship Id="rId2156" Type="http://schemas.openxmlformats.org/officeDocument/2006/relationships/hyperlink" Target="https://us.pandora.net/on/demandware.static/-/Sites-pandora-master-catalog/default/dwbb259ca6/productimages/singlepackshot/563050C00_RGB.png" TargetMode="External"/><Relationship Id="rId2363" Type="http://schemas.openxmlformats.org/officeDocument/2006/relationships/hyperlink" Target="https://us.pandora.net/on/demandware.static/-/Sites-pandora-master-catalog/default/dwbb259ca6/productimages/singlepackshot/586292CZ_RGB.png" TargetMode="External"/><Relationship Id="rId2570" Type="http://schemas.openxmlformats.org/officeDocument/2006/relationships/hyperlink" Target="https://us.pandora.net/on/demandware.static/-/Sites-pandora-master-catalog/default/dwbb259ca6/productimages/singlepackshot/593400C01_RGB.png" TargetMode="External"/><Relationship Id="rId3207" Type="http://schemas.openxmlformats.org/officeDocument/2006/relationships/hyperlink" Target="https://us.pandora.net/on/demandware.static/-/Sites-pandora-master-catalog/default/dwbb259ca6/productimages/singlepackshot/793119C01_RGB.png" TargetMode="External"/><Relationship Id="rId3414" Type="http://schemas.openxmlformats.org/officeDocument/2006/relationships/hyperlink" Target="https://us.pandora.net/on/demandware.static/-/Sites-pandora-master-catalog/default/dwbb259ca6/productimages/singlepackshot/794377C01_RGB.png" TargetMode="External"/><Relationship Id="rId128" Type="http://schemas.openxmlformats.org/officeDocument/2006/relationships/hyperlink" Target="https://us.pandora.net/on/demandware.static/-/Sites-pandora-master-catalog/default/dwbb259ca6/productimages/singlepackshot/163095C00_RGB.png" TargetMode="External"/><Relationship Id="rId335" Type="http://schemas.openxmlformats.org/officeDocument/2006/relationships/hyperlink" Target="https://us.pandora.net/on/demandware.static/-/Sites-pandora-master-catalog/default/dwbb259ca6/productimages/singlepackshot/163654C01_RGB.png" TargetMode="External"/><Relationship Id="rId542" Type="http://schemas.openxmlformats.org/officeDocument/2006/relationships/hyperlink" Target="https://us.pandora.net/on/demandware.static/-/Sites-pandora-master-catalog/default/dwbb259ca6/productimages/singlepackshot/168655C01_RGB.png" TargetMode="External"/><Relationship Id="rId1172" Type="http://schemas.openxmlformats.org/officeDocument/2006/relationships/hyperlink" Target="https://us.pandora.net/on/demandware.static/-/Sites-pandora-master-catalog/default/dwbb259ca6/productimages/singlepackshot/193012C01_RGB.png" TargetMode="External"/><Relationship Id="rId2016" Type="http://schemas.openxmlformats.org/officeDocument/2006/relationships/hyperlink" Target="https://us.pandora.net/on/demandware.static/-/Sites-pandora-master-catalog/default/dwbb259ca6/productimages/singlepackshot/368821C01_RGB.png" TargetMode="External"/><Relationship Id="rId2223" Type="http://schemas.openxmlformats.org/officeDocument/2006/relationships/hyperlink" Target="https://us.pandora.net/on/demandware.static/-/Sites-pandora-master-catalog/default/dwbb259ca6/productimages/singlepackshot/563829C00_RGB.png" TargetMode="External"/><Relationship Id="rId2430" Type="http://schemas.openxmlformats.org/officeDocument/2006/relationships/hyperlink" Target="https://us.pandora.net/on/demandware.static/-/Sites-pandora-master-catalog/default/dwbb259ca6/productimages/singlepackshot/590702HV_RGB.png" TargetMode="External"/><Relationship Id="rId402" Type="http://schemas.openxmlformats.org/officeDocument/2006/relationships/hyperlink" Target="https://us.pandora.net/on/demandware.static/-/Sites-pandora-master-catalog/default/dwbb259ca6/productimages/singlepackshot/163831C01_RGB.png" TargetMode="External"/><Relationship Id="rId1032" Type="http://schemas.openxmlformats.org/officeDocument/2006/relationships/hyperlink" Target="https://us.pandora.net/on/demandware.static/-/Sites-pandora-master-catalog/default/dwbb259ca6/productimages/singlepackshot/192528C02_RGB.png" TargetMode="External"/><Relationship Id="rId1989" Type="http://schemas.openxmlformats.org/officeDocument/2006/relationships/hyperlink" Target="https://us.pandora.net/on/demandware.static/-/Sites-pandora-master-catalog/default/dwbb259ca6/productimages/singlepackshot/363176C01_RGB.png" TargetMode="External"/><Relationship Id="rId1849" Type="http://schemas.openxmlformats.org/officeDocument/2006/relationships/hyperlink" Target="https://us.pandora.net/on/demandware.static/-/Sites-pandora-master-catalog/default/dwbb259ca6/productimages/singlepackshot/263856C00_RGB.png" TargetMode="External"/><Relationship Id="rId3064" Type="http://schemas.openxmlformats.org/officeDocument/2006/relationships/hyperlink" Target="https://us.pandora.net/on/demandware.static/-/Sites-pandora-master-catalog/default/dwbb259ca6/productimages/singlepackshot/791676C01_RGB.png" TargetMode="External"/><Relationship Id="rId192" Type="http://schemas.openxmlformats.org/officeDocument/2006/relationships/hyperlink" Target="https://us.pandora.net/on/demandware.static/-/Sites-pandora-master-catalog/default/dwbb259ca6/productimages/singlepackshot/163285C01_RGB.png" TargetMode="External"/><Relationship Id="rId1709" Type="http://schemas.openxmlformats.org/officeDocument/2006/relationships/hyperlink" Target="https://us.pandora.net/on/demandware.static/-/Sites-pandora-master-catalog/default/dwbb259ca6/productimages/singlepackshot/198421C02_RGB.png" TargetMode="External"/><Relationship Id="rId1916" Type="http://schemas.openxmlformats.org/officeDocument/2006/relationships/hyperlink" Target="https://us.pandora.net/on/demandware.static/-/Sites-pandora-master-catalog/default/dwbb259ca6/productimages/singlepackshot/293015C01_RGB.png" TargetMode="External"/><Relationship Id="rId3271" Type="http://schemas.openxmlformats.org/officeDocument/2006/relationships/hyperlink" Target="https://us.pandora.net/on/demandware.static/-/Sites-pandora-master-catalog/default/dwbb259ca6/productimages/singlepackshot/793533C01_RGB.png" TargetMode="External"/><Relationship Id="rId2080" Type="http://schemas.openxmlformats.org/officeDocument/2006/relationships/hyperlink" Target="https://us.pandora.net/on/demandware.static/-/Sites-pandora-master-catalog/default/dwbb259ca6/productimages/singlepackshot/393776C01_RGB.png" TargetMode="External"/><Relationship Id="rId3131" Type="http://schemas.openxmlformats.org/officeDocument/2006/relationships/hyperlink" Target="https://us.pandora.net/on/demandware.static/-/Sites-pandora-master-catalog/default/dwbb259ca6/productimages/singlepackshot/792377C00_RGB.png" TargetMode="External"/><Relationship Id="rId2897" Type="http://schemas.openxmlformats.org/officeDocument/2006/relationships/hyperlink" Target="https://us.pandora.net/on/demandware.static/-/Sites-pandora-master-catalog/default/dwbb259ca6/productimages/singlepackshot/763958C00_RGB.png" TargetMode="External"/><Relationship Id="rId869" Type="http://schemas.openxmlformats.org/officeDocument/2006/relationships/hyperlink" Target="https://us.pandora.net/on/demandware.static/-/Sites-pandora-master-catalog/default/dwbb259ca6/productimages/singlepackshot/190056C01_RGB.png" TargetMode="External"/><Relationship Id="rId1499" Type="http://schemas.openxmlformats.org/officeDocument/2006/relationships/hyperlink" Target="https://us.pandora.net/on/demandware.static/-/Sites-pandora-master-catalog/default/dwbb259ca6/productimages/singlepackshot/193740C01_RGB.png" TargetMode="External"/><Relationship Id="rId729" Type="http://schemas.openxmlformats.org/officeDocument/2006/relationships/hyperlink" Target="https://us.pandora.net/on/demandware.static/-/Sites-pandora-master-catalog/default/dwbb259ca6/productimages/singlepackshot/186316CZ_RGB.png" TargetMode="External"/><Relationship Id="rId1359" Type="http://schemas.openxmlformats.org/officeDocument/2006/relationships/hyperlink" Target="https://us.pandora.net/on/demandware.static/-/Sites-pandora-master-catalog/default/dwbb259ca6/productimages/singlepackshot/193510C01_RGB.png" TargetMode="External"/><Relationship Id="rId2757" Type="http://schemas.openxmlformats.org/officeDocument/2006/relationships/hyperlink" Target="https://us.pandora.net/on/demandware.static/-/Sites-pandora-master-catalog/default/dwbb259ca6/productimages/singlepackshot/599662C00_RGB.png" TargetMode="External"/><Relationship Id="rId2964" Type="http://schemas.openxmlformats.org/officeDocument/2006/relationships/hyperlink" Target="https://us.pandora.net/on/demandware.static/-/Sites-pandora-master-catalog/default/dwbb259ca6/productimages/singlepackshot/769660C01_RGB.png" TargetMode="External"/><Relationship Id="rId936" Type="http://schemas.openxmlformats.org/officeDocument/2006/relationships/hyperlink" Target="https://us.pandora.net/on/demandware.static/-/Sites-pandora-master-catalog/default/dwbb259ca6/productimages/singlepackshot/191149C01_RGB.png" TargetMode="External"/><Relationship Id="rId1219" Type="http://schemas.openxmlformats.org/officeDocument/2006/relationships/hyperlink" Target="https://us.pandora.net/on/demandware.static/-/Sites-pandora-master-catalog/default/dwbb259ca6/productimages/singlepackshot/193089C01_RGB.png" TargetMode="External"/><Relationship Id="rId1566" Type="http://schemas.openxmlformats.org/officeDocument/2006/relationships/hyperlink" Target="https://us.pandora.net/on/demandware.static/-/Sites-pandora-master-catalog/default/dwbb259ca6/productimages/singlepackshot/194134C01_RGB.png" TargetMode="External"/><Relationship Id="rId1773" Type="http://schemas.openxmlformats.org/officeDocument/2006/relationships/hyperlink" Target="https://us.pandora.net/on/demandware.static/-/Sites-pandora-master-catalog/default/dwbb259ca6/productimages/singlepackshot/199057C01_RGB.png" TargetMode="External"/><Relationship Id="rId1980" Type="http://schemas.openxmlformats.org/officeDocument/2006/relationships/hyperlink" Target="https://us.pandora.net/on/demandware.static/-/Sites-pandora-master-catalog/default/dwbb259ca6/productimages/singlepackshot/362234C00_RGB.png" TargetMode="External"/><Relationship Id="rId2617" Type="http://schemas.openxmlformats.org/officeDocument/2006/relationships/hyperlink" Target="https://us.pandora.net/on/demandware.static/-/Sites-pandora-master-catalog/default/dwbb259ca6/productimages/singlepackshot/593816C01_RGB.png" TargetMode="External"/><Relationship Id="rId2824" Type="http://schemas.openxmlformats.org/officeDocument/2006/relationships/hyperlink" Target="https://us.pandora.net/on/demandware.static/-/Sites-pandora-master-catalog/default/dwbb259ca6/productimages/singlepackshot/763373C01_RGB.png" TargetMode="External"/><Relationship Id="rId65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1426" Type="http://schemas.openxmlformats.org/officeDocument/2006/relationships/hyperlink" Target="https://us.pandora.net/on/demandware.static/-/Sites-pandora-master-catalog/default/dwbb259ca6/productimages/singlepackshot/193557C01_RGB.png" TargetMode="External"/><Relationship Id="rId1633" Type="http://schemas.openxmlformats.org/officeDocument/2006/relationships/hyperlink" Target="https://us.pandora.net/on/demandware.static/-/Sites-pandora-master-catalog/default/dwbb259ca6/productimages/singlepackshot/196314_RGB.png" TargetMode="External"/><Relationship Id="rId1840" Type="http://schemas.openxmlformats.org/officeDocument/2006/relationships/hyperlink" Target="https://us.pandora.net/on/demandware.static/-/Sites-pandora-master-catalog/default/dwbb259ca6/productimages/singlepackshot/263320C00_RGB.png" TargetMode="External"/><Relationship Id="rId1700" Type="http://schemas.openxmlformats.org/officeDocument/2006/relationships/hyperlink" Target="https://us.pandora.net/on/demandware.static/-/Sites-pandora-master-catalog/default/dwbb259ca6/productimages/singlepackshot/198421C01_RGB.png" TargetMode="External"/><Relationship Id="rId3458" Type="http://schemas.openxmlformats.org/officeDocument/2006/relationships/hyperlink" Target="https://us.pandora.net/on/demandware.static/-/Sites-pandora-master-catalog/default/dwbb259ca6/productimages/singlepackshot/798009EN16_RGB.png" TargetMode="External"/><Relationship Id="rId379" Type="http://schemas.openxmlformats.org/officeDocument/2006/relationships/hyperlink" Target="https://us.pandora.net/on/demandware.static/-/Sites-pandora-master-catalog/default/dwbb259ca6/productimages/singlepackshot/163800C01_RGB.png" TargetMode="External"/><Relationship Id="rId586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793" Type="http://schemas.openxmlformats.org/officeDocument/2006/relationships/hyperlink" Target="https://us.pandora.net/on/demandware.static/-/Sites-pandora-master-catalog/default/dwbb259ca6/productimages/singlepackshot/189057C01_RGB.png" TargetMode="External"/><Relationship Id="rId2267" Type="http://schemas.openxmlformats.org/officeDocument/2006/relationships/hyperlink" Target="https://us.pandora.net/on/demandware.static/-/Sites-pandora-master-catalog/default/dwbb259ca6/productimages/singlepackshot/564236C00_RGB.png" TargetMode="External"/><Relationship Id="rId2474" Type="http://schemas.openxmlformats.org/officeDocument/2006/relationships/hyperlink" Target="https://us.pandora.net/on/demandware.static/-/Sites-pandora-master-catalog/default/dwbb259ca6/productimages/singlepackshot/590782C01_RGB.png" TargetMode="External"/><Relationship Id="rId2681" Type="http://schemas.openxmlformats.org/officeDocument/2006/relationships/hyperlink" Target="https://us.pandora.net/on/demandware.static/-/Sites-pandora-master-catalog/default/dwbb259ca6/productimages/singlepackshot/598816C00_RGB.png" TargetMode="External"/><Relationship Id="rId3318" Type="http://schemas.openxmlformats.org/officeDocument/2006/relationships/hyperlink" Target="https://us.pandora.net/on/demandware.static/-/Sites-pandora-master-catalog/default/dwbb259ca6/productimages/singlepackshot/793771C01_RGB.png" TargetMode="External"/><Relationship Id="rId3525" Type="http://schemas.openxmlformats.org/officeDocument/2006/relationships/hyperlink" Target="https://us.pandora.net/on/demandware.static/-/Sites-pandora-master-catalog/default/dwbb259ca6/productimages/singlepackshot/799183C00_RGB.png" TargetMode="External"/><Relationship Id="rId239" Type="http://schemas.openxmlformats.org/officeDocument/2006/relationships/hyperlink" Target="https://us.pandora.net/on/demandware.static/-/Sites-pandora-master-catalog/default/dwbb259ca6/productimages/singlepackshot/163325C01_RGB.png" TargetMode="External"/><Relationship Id="rId446" Type="http://schemas.openxmlformats.org/officeDocument/2006/relationships/hyperlink" Target="https://us.pandora.net/on/demandware.static/-/Sites-pandora-master-catalog/default/dwbb259ca6/productimages/singlepackshot/163984C01_RGB.png" TargetMode="External"/><Relationship Id="rId653" Type="http://schemas.openxmlformats.org/officeDocument/2006/relationships/hyperlink" Target="https://us.pandora.net/on/demandware.static/-/Sites-pandora-master-catalog/default/dwbb259ca6/productimages/singlepackshot/182539C01_RGB.png" TargetMode="External"/><Relationship Id="rId1076" Type="http://schemas.openxmlformats.org/officeDocument/2006/relationships/hyperlink" Target="https://us.pandora.net/on/demandware.static/-/Sites-pandora-master-catalog/default/dwbb259ca6/productimages/singlepackshot/192675C01_RGB.png" TargetMode="External"/><Relationship Id="rId1283" Type="http://schemas.openxmlformats.org/officeDocument/2006/relationships/hyperlink" Target="https://us.pandora.net/on/demandware.static/-/Sites-pandora-master-catalog/default/dwbb259ca6/productimages/singlepackshot/193156C01_RGB.png" TargetMode="External"/><Relationship Id="rId1490" Type="http://schemas.openxmlformats.org/officeDocument/2006/relationships/hyperlink" Target="https://us.pandora.net/on/demandware.static/-/Sites-pandora-master-catalog/default/dwbb259ca6/productimages/singlepackshot/193661C01_RGB.png" TargetMode="External"/><Relationship Id="rId2127" Type="http://schemas.openxmlformats.org/officeDocument/2006/relationships/hyperlink" Target="https://us.pandora.net/on/demandware.static/-/Sites-pandora-master-catalog/default/dwbb259ca6/productimages/singlepackshot/560041C01_RGB.png" TargetMode="External"/><Relationship Id="rId2334" Type="http://schemas.openxmlformats.org/officeDocument/2006/relationships/hyperlink" Target="https://us.pandora.net/on/demandware.static/-/Sites-pandora-master-catalog/default/dwbb259ca6/productimages/singlepackshot/580728_RGB.png" TargetMode="External"/><Relationship Id="rId306" Type="http://schemas.openxmlformats.org/officeDocument/2006/relationships/hyperlink" Target="https://us.pandora.net/on/demandware.static/-/Sites-pandora-master-catalog/default/dwbb259ca6/productimages/singlepackshot/163557C01_RGB.png" TargetMode="External"/><Relationship Id="rId860" Type="http://schemas.openxmlformats.org/officeDocument/2006/relationships/hyperlink" Target="https://us.pandora.net/on/demandware.static/-/Sites-pandora-master-catalog/default/dwbb259ca6/productimages/singlepackshot/190052C01_RGB.png" TargetMode="External"/><Relationship Id="rId1143" Type="http://schemas.openxmlformats.org/officeDocument/2006/relationships/hyperlink" Target="https://us.pandora.net/on/demandware.static/-/Sites-pandora-master-catalog/default/dwbb259ca6/productimages/singlepackshot/192993C12_RGB.png" TargetMode="External"/><Relationship Id="rId2541" Type="http://schemas.openxmlformats.org/officeDocument/2006/relationships/hyperlink" Target="https://us.pandora.net/on/demandware.static/-/Sites-pandora-master-catalog/default/dwbb259ca6/productimages/singlepackshot/593008C01_RGB.png" TargetMode="External"/><Relationship Id="rId513" Type="http://schemas.openxmlformats.org/officeDocument/2006/relationships/hyperlink" Target="https://us.pandora.net/on/demandware.static/-/Sites-pandora-master-catalog/default/dwbb259ca6/productimages/singlepackshot/168289C01_RGB.png" TargetMode="External"/><Relationship Id="rId720" Type="http://schemas.openxmlformats.org/officeDocument/2006/relationships/hyperlink" Target="https://us.pandora.net/on/demandware.static/-/Sites-pandora-master-catalog/default/dwbb259ca6/productimages/singlepackshot/186316C02_RGB.png" TargetMode="External"/><Relationship Id="rId1350" Type="http://schemas.openxmlformats.org/officeDocument/2006/relationships/hyperlink" Target="https://us.pandora.net/on/demandware.static/-/Sites-pandora-master-catalog/default/dwbb259ca6/productimages/singlepackshot/193422C01_RGB.png" TargetMode="External"/><Relationship Id="rId2401" Type="http://schemas.openxmlformats.org/officeDocument/2006/relationships/hyperlink" Target="https://us.pandora.net/on/demandware.static/-/Sites-pandora-master-catalog/default/dwbb259ca6/productimages/singlepackshot/590039C01_RGB.png" TargetMode="External"/><Relationship Id="rId1003" Type="http://schemas.openxmlformats.org/officeDocument/2006/relationships/hyperlink" Target="https://us.pandora.net/on/demandware.static/-/Sites-pandora-master-catalog/default/dwbb259ca6/productimages/singlepackshot/192390C01_RGB.png" TargetMode="External"/><Relationship Id="rId1210" Type="http://schemas.openxmlformats.org/officeDocument/2006/relationships/hyperlink" Target="https://us.pandora.net/on/demandware.static/-/Sites-pandora-master-catalog/default/dwbb259ca6/productimages/singlepackshot/193088C02_RGB.png" TargetMode="External"/><Relationship Id="rId3175" Type="http://schemas.openxmlformats.org/officeDocument/2006/relationships/hyperlink" Target="https://us.pandora.net/on/demandware.static/-/Sites-pandora-master-catalog/default/dwbb259ca6/productimages/singlepackshot/792954C01_RGB.png" TargetMode="External"/><Relationship Id="rId3382" Type="http://schemas.openxmlformats.org/officeDocument/2006/relationships/hyperlink" Target="https://us.pandora.net/on/demandware.static/-/Sites-pandora-master-catalog/default/dwbb259ca6/productimages/singlepackshot/794140C01_RGB.png" TargetMode="External"/><Relationship Id="rId2191" Type="http://schemas.openxmlformats.org/officeDocument/2006/relationships/hyperlink" Target="https://us.pandora.net/on/demandware.static/-/Sites-pandora-master-catalog/default/dwbb259ca6/productimages/singlepackshot/563539C01_RGB.png" TargetMode="External"/><Relationship Id="rId3035" Type="http://schemas.openxmlformats.org/officeDocument/2006/relationships/hyperlink" Target="https://us.pandora.net/on/demandware.static/-/Sites-pandora-master-catalog/default/dwbb259ca6/productimages/singlepackshot/790667C01_RGB.png" TargetMode="External"/><Relationship Id="rId3242" Type="http://schemas.openxmlformats.org/officeDocument/2006/relationships/hyperlink" Target="https://us.pandora.net/on/demandware.static/-/Sites-pandora-master-catalog/default/dwbb259ca6/productimages/singlepackshot/793353C00_RGB.png" TargetMode="External"/><Relationship Id="rId163" Type="http://schemas.openxmlformats.org/officeDocument/2006/relationships/hyperlink" Target="https://us.pandora.net/on/demandware.static/-/Sites-pandora-master-catalog/default/dwbb259ca6/productimages/singlepackshot/163157C01_RGB.png" TargetMode="External"/><Relationship Id="rId370" Type="http://schemas.openxmlformats.org/officeDocument/2006/relationships/hyperlink" Target="https://us.pandora.net/on/demandware.static/-/Sites-pandora-master-catalog/default/dwbb259ca6/productimages/singlepackshot/163799C01_RGB.png" TargetMode="External"/><Relationship Id="rId2051" Type="http://schemas.openxmlformats.org/officeDocument/2006/relationships/hyperlink" Target="https://us.pandora.net/on/demandware.static/-/Sites-pandora-master-catalog/default/dwbb259ca6/productimages/singlepackshot/393076C01_RGB.png" TargetMode="External"/><Relationship Id="rId3102" Type="http://schemas.openxmlformats.org/officeDocument/2006/relationships/hyperlink" Target="https://us.pandora.net/on/demandware.static/-/Sites-pandora-master-catalog/default/dwbb259ca6/productimages/singlepackshot/792018C00_E027_RGB.png" TargetMode="External"/><Relationship Id="rId230" Type="http://schemas.openxmlformats.org/officeDocument/2006/relationships/hyperlink" Target="https://us.pandora.net/on/demandware.static/-/Sites-pandora-master-catalog/default/dwbb259ca6/productimages/singlepackshot/163322C01_RGB.png" TargetMode="External"/><Relationship Id="rId2868" Type="http://schemas.openxmlformats.org/officeDocument/2006/relationships/hyperlink" Target="https://us.pandora.net/on/demandware.static/-/Sites-pandora-master-catalog/default/dwbb259ca6/productimages/singlepackshot/763781C01_RGB.png" TargetMode="External"/><Relationship Id="rId1677" Type="http://schemas.openxmlformats.org/officeDocument/2006/relationships/hyperlink" Target="https://us.pandora.net/on/demandware.static/-/Sites-pandora-master-catalog/default/dwbb259ca6/productimages/singlepackshot/197736CZ_RGB.png" TargetMode="External"/><Relationship Id="rId1884" Type="http://schemas.openxmlformats.org/officeDocument/2006/relationships/hyperlink" Target="https://us.pandora.net/on/demandware.static/-/Sites-pandora-master-catalog/default/dwbb259ca6/productimages/singlepackshot/290591CZ_RGB.png" TargetMode="External"/><Relationship Id="rId2728" Type="http://schemas.openxmlformats.org/officeDocument/2006/relationships/hyperlink" Target="https://us.pandora.net/on/demandware.static/-/Sites-pandora-master-catalog/default/dwbb259ca6/productimages/singlepackshot/599375C01_RGB.png" TargetMode="External"/><Relationship Id="rId2935" Type="http://schemas.openxmlformats.org/officeDocument/2006/relationships/hyperlink" Target="https://us.pandora.net/on/demandware.static/-/Sites-pandora-master-catalog/default/dwbb259ca6/productimages/singlepackshot/764130C01_RGB.png" TargetMode="External"/><Relationship Id="rId907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537" Type="http://schemas.openxmlformats.org/officeDocument/2006/relationships/hyperlink" Target="https://us.pandora.net/on/demandware.static/-/Sites-pandora-master-catalog/default/dwbb259ca6/productimages/singlepackshot/193886C00_RGB.png" TargetMode="External"/><Relationship Id="rId1744" Type="http://schemas.openxmlformats.org/officeDocument/2006/relationships/hyperlink" Target="https://us.pandora.net/on/demandware.static/-/Sites-pandora-master-catalog/default/dwbb259ca6/productimages/singlepackshot/198492C01_RGB.png" TargetMode="External"/><Relationship Id="rId1951" Type="http://schemas.openxmlformats.org/officeDocument/2006/relationships/hyperlink" Target="https://us.pandora.net/on/demandware.static/-/Sites-pandora-master-catalog/default/dwbb259ca6/productimages/singlepackshot/293668C01_RGB.png" TargetMode="External"/><Relationship Id="rId36" Type="http://schemas.openxmlformats.org/officeDocument/2006/relationships/hyperlink" Target="https://us.pandora.net/on/demandware.static/-/Sites-pandora-master-catalog/default/dwbb259ca6/productimages/singlepackshot/161234C01_RGB.png" TargetMode="External"/><Relationship Id="rId1604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1811" Type="http://schemas.openxmlformats.org/officeDocument/2006/relationships/hyperlink" Target="https://us.pandora.net/on/demandware.static/-/Sites-pandora-master-catalog/default/dwbb259ca6/productimages/singlepackshot/262633C01_RGB.png" TargetMode="External"/><Relationship Id="rId697" Type="http://schemas.openxmlformats.org/officeDocument/2006/relationships/hyperlink" Target="https://us.pandora.net/on/demandware.static/-/Sites-pandora-master-catalog/default/dwbb259ca6/productimages/singlepackshot/183095C00_RGB.png" TargetMode="External"/><Relationship Id="rId2378" Type="http://schemas.openxmlformats.org/officeDocument/2006/relationships/hyperlink" Target="https://us.pandora.net/on/demandware.static/-/Sites-pandora-master-catalog/default/dwbb259ca6/productimages/singlepackshot/589217C01_RGB.png" TargetMode="External"/><Relationship Id="rId3429" Type="http://schemas.openxmlformats.org/officeDocument/2006/relationships/hyperlink" Target="https://us.pandora.net/on/demandware.static/-/Sites-pandora-master-catalog/default/dwbb259ca6/productimages/singlepackshot/797460_RGB.png" TargetMode="External"/><Relationship Id="rId1187" Type="http://schemas.openxmlformats.org/officeDocument/2006/relationships/hyperlink" Target="https://us.pandora.net/on/demandware.static/-/Sites-pandora-master-catalog/default/dwbb259ca6/productimages/singlepackshot/193058C00_RGB.png" TargetMode="External"/><Relationship Id="rId2585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2792" Type="http://schemas.openxmlformats.org/officeDocument/2006/relationships/hyperlink" Target="https://us.pandora.net/on/demandware.static/-/Sites-pandora-master-catalog/default/dwbb259ca6/productimages/singlepackshot/762715C01_RGB.png" TargetMode="External"/><Relationship Id="rId557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764" Type="http://schemas.openxmlformats.org/officeDocument/2006/relationships/hyperlink" Target="https://us.pandora.net/on/demandware.static/-/Sites-pandora-master-catalog/default/dwbb259ca6/productimages/singlepackshot/188421C03_RGB.png" TargetMode="External"/><Relationship Id="rId971" Type="http://schemas.openxmlformats.org/officeDocument/2006/relationships/hyperlink" Target="https://us.pandora.net/on/demandware.static/-/Sites-pandora-master-catalog/default/dwbb259ca6/productimages/singlepackshot/192233C01_RGB.png" TargetMode="External"/><Relationship Id="rId1394" Type="http://schemas.openxmlformats.org/officeDocument/2006/relationships/hyperlink" Target="https://us.pandora.net/on/demandware.static/-/Sites-pandora-master-catalog/default/dwbb259ca6/productimages/singlepackshot/193553C01_RGB.png" TargetMode="External"/><Relationship Id="rId2238" Type="http://schemas.openxmlformats.org/officeDocument/2006/relationships/hyperlink" Target="https://us.pandora.net/on/demandware.static/-/Sites-pandora-master-catalog/default/dwbb259ca6/productimages/singlepackshot/563869C00_RGB.png" TargetMode="External"/><Relationship Id="rId2445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2652" Type="http://schemas.openxmlformats.org/officeDocument/2006/relationships/hyperlink" Target="https://us.pandora.net/on/demandware.static/-/Sites-pandora-master-catalog/default/dwbb259ca6/productimages/singlepackshot/594236C00_RGB.png" TargetMode="External"/><Relationship Id="rId417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624" Type="http://schemas.openxmlformats.org/officeDocument/2006/relationships/hyperlink" Target="https://us.pandora.net/on/demandware.static/-/Sites-pandora-master-catalog/default/dwbb259ca6/productimages/singlepackshot/180963CZ_RGB.png" TargetMode="External"/><Relationship Id="rId831" Type="http://schemas.openxmlformats.org/officeDocument/2006/relationships/hyperlink" Target="https://us.pandora.net/on/demandware.static/-/Sites-pandora-master-catalog/default/dwbb259ca6/productimages/singlepackshot/190026C01_RGB.png" TargetMode="External"/><Relationship Id="rId1047" Type="http://schemas.openxmlformats.org/officeDocument/2006/relationships/hyperlink" Target="https://us.pandora.net/on/demandware.static/-/Sites-pandora-master-catalog/default/dwbb259ca6/productimages/singlepackshot/192566C01_RGB.png" TargetMode="External"/><Relationship Id="rId1254" Type="http://schemas.openxmlformats.org/officeDocument/2006/relationships/hyperlink" Target="https://us.pandora.net/on/demandware.static/-/Sites-pandora-master-catalog/default/dwbb259ca6/productimages/singlepackshot/193103C01_RGB.png" TargetMode="External"/><Relationship Id="rId1461" Type="http://schemas.openxmlformats.org/officeDocument/2006/relationships/hyperlink" Target="https://us.pandora.net/on/demandware.static/-/Sites-pandora-master-catalog/default/dwbb259ca6/productimages/singlepackshot/193652C01_RGB.png" TargetMode="External"/><Relationship Id="rId2305" Type="http://schemas.openxmlformats.org/officeDocument/2006/relationships/hyperlink" Target="https://us.pandora.net/on/demandware.static/-/Sites-pandora-master-catalog/default/dwbb259ca6/productimages/singlepackshot/569523C00_RGB.png" TargetMode="External"/><Relationship Id="rId2512" Type="http://schemas.openxmlformats.org/officeDocument/2006/relationships/hyperlink" Target="https://us.pandora.net/on/demandware.static/-/Sites-pandora-master-catalog/default/dwbb259ca6/productimages/singlepackshot/592453C00_RGB.png" TargetMode="External"/><Relationship Id="rId1114" Type="http://schemas.openxmlformats.org/officeDocument/2006/relationships/hyperlink" Target="https://us.pandora.net/on/demandware.static/-/Sites-pandora-master-catalog/default/dwbb259ca6/productimages/singlepackshot/192993C05_RGB.png" TargetMode="External"/><Relationship Id="rId1321" Type="http://schemas.openxmlformats.org/officeDocument/2006/relationships/hyperlink" Target="https://us.pandora.net/on/demandware.static/-/Sites-pandora-master-catalog/default/dwbb259ca6/productimages/singlepackshot/193318C00_RGB.png" TargetMode="External"/><Relationship Id="rId3079" Type="http://schemas.openxmlformats.org/officeDocument/2006/relationships/hyperlink" Target="https://us.pandora.net/on/demandware.static/-/Sites-pandora-master-catalog/default/dwbb259ca6/productimages/singlepackshot/791752_RGB.png" TargetMode="External"/><Relationship Id="rId3286" Type="http://schemas.openxmlformats.org/officeDocument/2006/relationships/hyperlink" Target="https://us.pandora.net/on/demandware.static/-/Sites-pandora-master-catalog/default/dwbb259ca6/productimages/singlepackshot/793597C00_RGB.png" TargetMode="External"/><Relationship Id="rId3493" Type="http://schemas.openxmlformats.org/officeDocument/2006/relationships/hyperlink" Target="https://us.pandora.net/on/demandware.static/-/Sites-pandora-master-catalog/default/dwbb259ca6/productimages/singlepackshot/798761C01_RGB.png" TargetMode="External"/><Relationship Id="rId2095" Type="http://schemas.openxmlformats.org/officeDocument/2006/relationships/hyperlink" Target="https://us.pandora.net/on/demandware.static/-/Sites-pandora-master-catalog/default/dwbb259ca6/productimages/singlepackshot/396240CZ_RGB.png" TargetMode="External"/><Relationship Id="rId3146" Type="http://schemas.openxmlformats.org/officeDocument/2006/relationships/hyperlink" Target="https://us.pandora.net/on/demandware.static/-/Sites-pandora-master-catalog/default/dwbb259ca6/productimages/singlepackshot/792630C04_RGB.png" TargetMode="External"/><Relationship Id="rId3353" Type="http://schemas.openxmlformats.org/officeDocument/2006/relationships/hyperlink" Target="https://us.pandora.net/on/demandware.static/-/Sites-pandora-master-catalog/default/dwbb259ca6/productimages/singlepackshot/793924C01_RGB.png" TargetMode="External"/><Relationship Id="rId274" Type="http://schemas.openxmlformats.org/officeDocument/2006/relationships/hyperlink" Target="https://us.pandora.net/on/demandware.static/-/Sites-pandora-master-catalog/default/dwbb259ca6/productimages/singlepackshot/163511C01_RGB.png" TargetMode="External"/><Relationship Id="rId481" Type="http://schemas.openxmlformats.org/officeDocument/2006/relationships/hyperlink" Target="https://us.pandora.net/on/demandware.static/-/Sites-pandora-master-catalog/default/dwbb259ca6/productimages/singlepackshot/164222C00_RGB.png" TargetMode="External"/><Relationship Id="rId2162" Type="http://schemas.openxmlformats.org/officeDocument/2006/relationships/hyperlink" Target="https://us.pandora.net/on/demandware.static/-/Sites-pandora-master-catalog/default/dwbb259ca6/productimages/singlepackshot/563173C01_RGB.png" TargetMode="External"/><Relationship Id="rId3006" Type="http://schemas.openxmlformats.org/officeDocument/2006/relationships/hyperlink" Target="https://us.pandora.net/on/demandware.static/-/Sites-pandora-master-catalog/default/dwbb259ca6/productimages/singlepackshot/788772C01_RGB.png" TargetMode="External"/><Relationship Id="rId134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3213" Type="http://schemas.openxmlformats.org/officeDocument/2006/relationships/hyperlink" Target="https://us.pandora.net/on/demandware.static/-/Sites-pandora-master-catalog/default/dwbb259ca6/productimages/singlepackshot/793125C09_RGB.png" TargetMode="External"/><Relationship Id="rId3420" Type="http://schemas.openxmlformats.org/officeDocument/2006/relationships/hyperlink" Target="https://us.pandora.net/on/demandware.static/-/Sites-pandora-master-catalog/default/dwbb259ca6/productimages/singlepackshot/797200_RGB.png" TargetMode="External"/><Relationship Id="rId341" Type="http://schemas.openxmlformats.org/officeDocument/2006/relationships/hyperlink" Target="https://us.pandora.net/on/demandware.static/-/Sites-pandora-master-catalog/default/dwbb259ca6/productimages/singlepackshot/163660C01_RGB.png" TargetMode="External"/><Relationship Id="rId2022" Type="http://schemas.openxmlformats.org/officeDocument/2006/relationships/hyperlink" Target="https://us.pandora.net/on/demandware.static/-/Sites-pandora-master-catalog/default/dwbb259ca6/productimages/singlepackshot/382234C00_RGB.png" TargetMode="External"/><Relationship Id="rId2979" Type="http://schemas.openxmlformats.org/officeDocument/2006/relationships/hyperlink" Target="https://us.pandora.net/on/demandware.static/-/Sites-pandora-master-catalog/default/dwbb259ca6/productimages/singlepackshot/782243C00_RGB.png" TargetMode="External"/><Relationship Id="rId201" Type="http://schemas.openxmlformats.org/officeDocument/2006/relationships/hyperlink" Target="https://us.pandora.net/on/demandware.static/-/Sites-pandora-master-catalog/default/dwbb259ca6/productimages/singlepackshot/163288C00_RGB.png" TargetMode="External"/><Relationship Id="rId1788" Type="http://schemas.openxmlformats.org/officeDocument/2006/relationships/hyperlink" Target="https://us.pandora.net/on/demandware.static/-/Sites-pandora-master-catalog/default/dwbb259ca6/productimages/singlepackshot/199302C01_RGB.png" TargetMode="External"/><Relationship Id="rId1995" Type="http://schemas.openxmlformats.org/officeDocument/2006/relationships/hyperlink" Target="https://us.pandora.net/on/demandware.static/-/Sites-pandora-master-catalog/default/dwbb259ca6/productimages/singlepackshot/363334C00_RGB.png" TargetMode="External"/><Relationship Id="rId2839" Type="http://schemas.openxmlformats.org/officeDocument/2006/relationships/hyperlink" Target="https://us.pandora.net/on/demandware.static/-/Sites-pandora-master-catalog/default/dwbb259ca6/productimages/singlepackshot/763462C03_RGB.png" TargetMode="External"/><Relationship Id="rId1648" Type="http://schemas.openxmlformats.org/officeDocument/2006/relationships/hyperlink" Target="https://us.pandora.net/on/demandware.static/-/Sites-pandora-master-catalog/default/dwbb259ca6/productimages/singlepackshot/196316C02_RGB.png" TargetMode="External"/><Relationship Id="rId1508" Type="http://schemas.openxmlformats.org/officeDocument/2006/relationships/hyperlink" Target="https://us.pandora.net/on/demandware.static/-/Sites-pandora-master-catalog/default/dwbb259ca6/productimages/singlepackshot/193759C01_RGB.png" TargetMode="External"/><Relationship Id="rId1855" Type="http://schemas.openxmlformats.org/officeDocument/2006/relationships/hyperlink" Target="https://us.pandora.net/on/demandware.static/-/Sites-pandora-master-catalog/default/dwbb259ca6/productimages/singlepackshot/263876C00_RGB.png" TargetMode="External"/><Relationship Id="rId2906" Type="http://schemas.openxmlformats.org/officeDocument/2006/relationships/hyperlink" Target="https://us.pandora.net/on/demandware.static/-/Sites-pandora-master-catalog/default/dwbb259ca6/productimages/singlepackshot/763967C00_RGB.png" TargetMode="External"/><Relationship Id="rId3070" Type="http://schemas.openxmlformats.org/officeDocument/2006/relationships/hyperlink" Target="https://us.pandora.net/on/demandware.static/-/Sites-pandora-master-catalog/default/dwbb259ca6/productimages/singlepackshot/791691C03_RGB.png" TargetMode="External"/><Relationship Id="rId1715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922" Type="http://schemas.openxmlformats.org/officeDocument/2006/relationships/hyperlink" Target="https://us.pandora.net/on/demandware.static/-/Sites-pandora-master-catalog/default/dwbb259ca6/productimages/singlepackshot/293152C01_RGB.png" TargetMode="External"/><Relationship Id="rId2489" Type="http://schemas.openxmlformats.org/officeDocument/2006/relationships/hyperlink" Target="https://us.pandora.net/on/demandware.static/-/Sites-pandora-master-catalog/default/dwbb259ca6/productimages/singlepackshot/591469C03_RGB.png" TargetMode="External"/><Relationship Id="rId2696" Type="http://schemas.openxmlformats.org/officeDocument/2006/relationships/hyperlink" Target="https://us.pandora.net/on/demandware.static/-/Sites-pandora-master-catalog/default/dwbb259ca6/productimages/singlepackshot/599046C01_RGB.png" TargetMode="External"/><Relationship Id="rId668" Type="http://schemas.openxmlformats.org/officeDocument/2006/relationships/hyperlink" Target="https://us.pandora.net/on/demandware.static/-/Sites-pandora-master-catalog/default/dwbb259ca6/productimages/singlepackshot/182773C01_RGB.png" TargetMode="External"/><Relationship Id="rId875" Type="http://schemas.openxmlformats.org/officeDocument/2006/relationships/hyperlink" Target="https://us.pandora.net/on/demandware.static/-/Sites-pandora-master-catalog/default/dwbb259ca6/productimages/singlepackshot/190074C01_RGB.png" TargetMode="External"/><Relationship Id="rId1298" Type="http://schemas.openxmlformats.org/officeDocument/2006/relationships/hyperlink" Target="https://us.pandora.net/on/demandware.static/-/Sites-pandora-master-catalog/default/dwbb259ca6/productimages/singlepackshot/193264C00_RGB.png" TargetMode="External"/><Relationship Id="rId2349" Type="http://schemas.openxmlformats.org/officeDocument/2006/relationships/hyperlink" Target="https://us.pandora.net/on/demandware.static/-/Sites-pandora-master-catalog/default/dwbb259ca6/productimages/singlepackshot/582257C00_RGB.png" TargetMode="External"/><Relationship Id="rId2556" Type="http://schemas.openxmlformats.org/officeDocument/2006/relationships/hyperlink" Target="https://us.pandora.net/on/demandware.static/-/Sites-pandora-master-catalog/default/dwbb259ca6/productimages/singlepackshot/593173C01_RGB.png" TargetMode="External"/><Relationship Id="rId2763" Type="http://schemas.openxmlformats.org/officeDocument/2006/relationships/hyperlink" Target="https://us.pandora.net/on/demandware.static/-/Sites-pandora-master-catalog/default/dwbb259ca6/productimages/singlepackshot/752604C01_RGB.png" TargetMode="External"/><Relationship Id="rId2970" Type="http://schemas.openxmlformats.org/officeDocument/2006/relationships/hyperlink" Target="https://us.pandora.net/on/demandware.static/-/Sites-pandora-master-catalog/default/dwbb259ca6/productimages/singlepackshot/781490C01_RGB.png" TargetMode="External"/><Relationship Id="rId528" Type="http://schemas.openxmlformats.org/officeDocument/2006/relationships/hyperlink" Target="https://us.pandora.net/on/demandware.static/-/Sites-pandora-master-catalog/default/dwbb259ca6/productimages/singlepackshot/168421C01_RGB.png" TargetMode="External"/><Relationship Id="rId735" Type="http://schemas.openxmlformats.org/officeDocument/2006/relationships/hyperlink" Target="https://us.pandora.net/on/demandware.static/-/Sites-pandora-master-catalog/default/dwbb259ca6/productimages/singlepackshot/187736CZ_RGB.png" TargetMode="External"/><Relationship Id="rId942" Type="http://schemas.openxmlformats.org/officeDocument/2006/relationships/hyperlink" Target="https://us.pandora.net/on/demandware.static/-/Sites-pandora-master-catalog/default/dwbb259ca6/productimages/singlepackshot/191165C01_RGB.png" TargetMode="External"/><Relationship Id="rId1158" Type="http://schemas.openxmlformats.org/officeDocument/2006/relationships/hyperlink" Target="https://us.pandora.net/on/demandware.static/-/Sites-pandora-master-catalog/default/dwbb259ca6/productimages/singlepackshot/193000C01_RGB.png" TargetMode="External"/><Relationship Id="rId1365" Type="http://schemas.openxmlformats.org/officeDocument/2006/relationships/hyperlink" Target="https://us.pandora.net/on/demandware.static/-/Sites-pandora-master-catalog/default/dwbb259ca6/productimages/singlepackshot/193510C02_RGB.png" TargetMode="External"/><Relationship Id="rId1572" Type="http://schemas.openxmlformats.org/officeDocument/2006/relationships/hyperlink" Target="https://us.pandora.net/on/demandware.static/-/Sites-pandora-master-catalog/default/dwbb259ca6/productimages/singlepackshot/194223C01_RGB.png" TargetMode="External"/><Relationship Id="rId2209" Type="http://schemas.openxmlformats.org/officeDocument/2006/relationships/hyperlink" Target="https://us.pandora.net/on/demandware.static/-/Sites-pandora-master-catalog/default/dwbb259ca6/productimages/singlepackshot/563758C01_RGB.png" TargetMode="External"/><Relationship Id="rId2416" Type="http://schemas.openxmlformats.org/officeDocument/2006/relationships/hyperlink" Target="https://us.pandora.net/on/demandware.static/-/Sites-pandora-master-catalog/default/dwbb259ca6/productimages/singlepackshot/590122C00_RGB.png" TargetMode="External"/><Relationship Id="rId2623" Type="http://schemas.openxmlformats.org/officeDocument/2006/relationships/hyperlink" Target="https://us.pandora.net/on/demandware.static/-/Sites-pandora-master-catalog/default/dwbb259ca6/productimages/singlepackshot/593853C00_RGB.png" TargetMode="External"/><Relationship Id="rId1018" Type="http://schemas.openxmlformats.org/officeDocument/2006/relationships/hyperlink" Target="https://us.pandora.net/on/demandware.static/-/Sites-pandora-master-catalog/default/dwbb259ca6/productimages/singlepackshot/192392C01_RGB.png" TargetMode="External"/><Relationship Id="rId1225" Type="http://schemas.openxmlformats.org/officeDocument/2006/relationships/hyperlink" Target="https://us.pandora.net/on/demandware.static/-/Sites-pandora-master-catalog/default/dwbb259ca6/productimages/singlepackshot/193093C00_RGB.png" TargetMode="External"/><Relationship Id="rId1432" Type="http://schemas.openxmlformats.org/officeDocument/2006/relationships/hyperlink" Target="https://us.pandora.net/on/demandware.static/-/Sites-pandora-master-catalog/default/dwbb259ca6/productimages/singlepackshot/193569C00_RGB.png" TargetMode="External"/><Relationship Id="rId2830" Type="http://schemas.openxmlformats.org/officeDocument/2006/relationships/hyperlink" Target="https://us.pandora.net/on/demandware.static/-/Sites-pandora-master-catalog/default/dwbb259ca6/productimages/singlepackshot/763413C01_RGB.png" TargetMode="External"/><Relationship Id="rId71" Type="http://schemas.openxmlformats.org/officeDocument/2006/relationships/hyperlink" Target="https://us.pandora.net/on/demandware.static/-/Sites-pandora-master-catalog/default/dwbb259ca6/productimages/singlepackshot/162539C01_RGB.png" TargetMode="External"/><Relationship Id="rId802" Type="http://schemas.openxmlformats.org/officeDocument/2006/relationships/hyperlink" Target="https://us.pandora.net/on/demandware.static/-/Sites-pandora-master-catalog/default/dwbb259ca6/productimages/singlepackshot/189655C01_RGB.png" TargetMode="External"/><Relationship Id="rId3397" Type="http://schemas.openxmlformats.org/officeDocument/2006/relationships/hyperlink" Target="https://us.pandora.net/on/demandware.static/-/Sites-pandora-master-catalog/default/dwbb259ca6/productimages/singlepackshot/794239C01_RGB.png" TargetMode="External"/><Relationship Id="rId178" Type="http://schemas.openxmlformats.org/officeDocument/2006/relationships/hyperlink" Target="https://us.pandora.net/on/demandware.static/-/Sites-pandora-master-catalog/default/dwbb259ca6/productimages/singlepackshot/163262C00_RGB.png" TargetMode="External"/><Relationship Id="rId3257" Type="http://schemas.openxmlformats.org/officeDocument/2006/relationships/hyperlink" Target="https://us.pandora.net/on/demandware.static/-/Sites-pandora-master-catalog/default/dwbb259ca6/productimages/singlepackshot/793439C00_RGB.png" TargetMode="External"/><Relationship Id="rId3464" Type="http://schemas.openxmlformats.org/officeDocument/2006/relationships/hyperlink" Target="https://us.pandora.net/on/demandware.static/-/Sites-pandora-master-catalog/default/dwbb259ca6/productimages/singlepackshot/798035_RGB.png" TargetMode="External"/><Relationship Id="rId385" Type="http://schemas.openxmlformats.org/officeDocument/2006/relationships/hyperlink" Target="https://us.pandora.net/on/demandware.static/-/Sites-pandora-master-catalog/default/dwbb259ca6/productimages/singlepackshot/163801C01_RGB.png" TargetMode="External"/><Relationship Id="rId592" Type="http://schemas.openxmlformats.org/officeDocument/2006/relationships/hyperlink" Target="https://us.pandora.net/on/demandware.static/-/Sites-pandora-master-catalog/default/dwbb259ca6/productimages/singlepackshot/169679C01_RGB.png" TargetMode="External"/><Relationship Id="rId2066" Type="http://schemas.openxmlformats.org/officeDocument/2006/relationships/hyperlink" Target="https://us.pandora.net/on/demandware.static/-/Sites-pandora-master-catalog/default/dwbb259ca6/productimages/singlepackshot/393509C01_RGB.png" TargetMode="External"/><Relationship Id="rId2273" Type="http://schemas.openxmlformats.org/officeDocument/2006/relationships/hyperlink" Target="https://us.pandora.net/on/demandware.static/-/Sites-pandora-master-catalog/default/dwbb259ca6/productimages/singlepackshot/568707C00_RGB.png" TargetMode="External"/><Relationship Id="rId2480" Type="http://schemas.openxmlformats.org/officeDocument/2006/relationships/hyperlink" Target="https://us.pandora.net/on/demandware.static/-/Sites-pandora-master-catalog/default/dwbb259ca6/productimages/singlepackshot/590784C00_RGB.png" TargetMode="External"/><Relationship Id="rId3117" Type="http://schemas.openxmlformats.org/officeDocument/2006/relationships/hyperlink" Target="https://us.pandora.net/on/demandware.static/-/Sites-pandora-master-catalog/default/dwbb259ca6/productimages/singlepackshot/792245C01_RGB.png" TargetMode="External"/><Relationship Id="rId3324" Type="http://schemas.openxmlformats.org/officeDocument/2006/relationships/hyperlink" Target="https://us.pandora.net/on/demandware.static/-/Sites-pandora-master-catalog/default/dwbb259ca6/productimages/singlepackshot/793788C01_RGB.png" TargetMode="External"/><Relationship Id="rId3531" Type="http://schemas.openxmlformats.org/officeDocument/2006/relationships/hyperlink" Target="https://us.pandora.net/on/demandware.static/-/Sites-pandora-master-catalog/default/dwbb259ca6/productimages/singlepackshot/799293C00_RGB.png" TargetMode="External"/><Relationship Id="rId245" Type="http://schemas.openxmlformats.org/officeDocument/2006/relationships/hyperlink" Target="https://us.pandora.net/on/demandware.static/-/Sites-pandora-master-catalog/default/dwbb259ca6/productimages/singlepackshot/163362C00_RGB.png" TargetMode="External"/><Relationship Id="rId452" Type="http://schemas.openxmlformats.org/officeDocument/2006/relationships/hyperlink" Target="https://us.pandora.net/on/demandware.static/-/Sites-pandora-master-catalog/default/dwbb259ca6/productimages/singlepackshot/163986C00_RGB.png" TargetMode="External"/><Relationship Id="rId1082" Type="http://schemas.openxmlformats.org/officeDocument/2006/relationships/hyperlink" Target="https://us.pandora.net/on/demandware.static/-/Sites-pandora-master-catalog/default/dwbb259ca6/productimages/singlepackshot/192800C01_RGB.png" TargetMode="External"/><Relationship Id="rId2133" Type="http://schemas.openxmlformats.org/officeDocument/2006/relationships/hyperlink" Target="https://us.pandora.net/on/demandware.static/-/Sites-pandora-master-catalog/default/dwbb259ca6/productimages/singlepackshot/561469C02_RGB.png" TargetMode="External"/><Relationship Id="rId2340" Type="http://schemas.openxmlformats.org/officeDocument/2006/relationships/hyperlink" Target="https://us.pandora.net/on/demandware.static/-/Sites-pandora-master-catalog/default/dwbb259ca6/productimages/singlepackshot/581469C02_RGB.png" TargetMode="External"/><Relationship Id="rId105" Type="http://schemas.openxmlformats.org/officeDocument/2006/relationships/hyperlink" Target="https://us.pandora.net/on/demandware.static/-/Sites-pandora-master-catalog/default/dwbb259ca6/productimages/singlepackshot/162999C01_RGB.png" TargetMode="External"/><Relationship Id="rId312" Type="http://schemas.openxmlformats.org/officeDocument/2006/relationships/hyperlink" Target="https://us.pandora.net/on/demandware.static/-/Sites-pandora-master-catalog/default/dwbb259ca6/productimages/singlepackshot/163582C01_RGB.png" TargetMode="External"/><Relationship Id="rId2200" Type="http://schemas.openxmlformats.org/officeDocument/2006/relationships/hyperlink" Target="https://us.pandora.net/on/demandware.static/-/Sites-pandora-master-catalog/default/dwbb259ca6/productimages/singlepackshot/563683C01_RGB.png" TargetMode="External"/><Relationship Id="rId1899" Type="http://schemas.openxmlformats.org/officeDocument/2006/relationships/hyperlink" Target="https://us.pandora.net/on/demandware.static/-/Sites-pandora-master-catalog/default/dwbb259ca6/productimages/singlepackshot/292334C07_RGB.png" TargetMode="External"/><Relationship Id="rId1759" Type="http://schemas.openxmlformats.org/officeDocument/2006/relationships/hyperlink" Target="https://us.pandora.net/on/demandware.static/-/Sites-pandora-master-catalog/default/dwbb259ca6/productimages/singlepackshot/198863C01_RGB.png" TargetMode="External"/><Relationship Id="rId1966" Type="http://schemas.openxmlformats.org/officeDocument/2006/relationships/hyperlink" Target="https://us.pandora.net/on/demandware.static/-/Sites-pandora-master-catalog/default/dwbb259ca6/productimages/singlepackshot/296317CZ_RGB.png" TargetMode="External"/><Relationship Id="rId3181" Type="http://schemas.openxmlformats.org/officeDocument/2006/relationships/hyperlink" Target="https://us.pandora.net/on/demandware.static/-/Sites-pandora-master-catalog/default/dwbb259ca6/productimages/singlepackshot/792986C01_RGB.png" TargetMode="External"/><Relationship Id="rId1619" Type="http://schemas.openxmlformats.org/officeDocument/2006/relationships/hyperlink" Target="https://us.pandora.net/on/demandware.static/-/Sites-pandora-master-catalog/default/dwbb259ca6/productimages/singlepackshot/196242CZ_RGB.png" TargetMode="External"/><Relationship Id="rId1826" Type="http://schemas.openxmlformats.org/officeDocument/2006/relationships/hyperlink" Target="https://us.pandora.net/on/demandware.static/-/Sites-pandora-master-catalog/default/dwbb259ca6/productimages/singlepackshot/263266C00_RGB.png" TargetMode="External"/><Relationship Id="rId3041" Type="http://schemas.openxmlformats.org/officeDocument/2006/relationships/hyperlink" Target="https://us.pandora.net/on/demandware.static/-/Sites-pandora-master-catalog/default/dwbb259ca6/productimages/singlepackshot/790777C01_RGB.png" TargetMode="External"/><Relationship Id="rId779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986" Type="http://schemas.openxmlformats.org/officeDocument/2006/relationships/hyperlink" Target="https://us.pandora.net/on/demandware.static/-/Sites-pandora-master-catalog/default/dwbb259ca6/productimages/singlepackshot/192344C01_RGB.png" TargetMode="External"/><Relationship Id="rId2667" Type="http://schemas.openxmlformats.org/officeDocument/2006/relationships/hyperlink" Target="https://us.pandora.net/on/demandware.static/-/Sites-pandora-master-catalog/default/dwbb259ca6/productimages/singlepackshot/597770CZ_RGB.png" TargetMode="External"/><Relationship Id="rId639" Type="http://schemas.openxmlformats.org/officeDocument/2006/relationships/hyperlink" Target="https://us.pandora.net/on/demandware.static/-/Sites-pandora-master-catalog/default/dwbb259ca6/productimages/singlepackshot/182495C01_RGB.png" TargetMode="External"/><Relationship Id="rId1269" Type="http://schemas.openxmlformats.org/officeDocument/2006/relationships/hyperlink" Target="https://us.pandora.net/on/demandware.static/-/Sites-pandora-master-catalog/default/dwbb259ca6/productimages/singlepackshot/193147C01_RGB.png" TargetMode="External"/><Relationship Id="rId1476" Type="http://schemas.openxmlformats.org/officeDocument/2006/relationships/hyperlink" Target="https://us.pandora.net/on/demandware.static/-/Sites-pandora-master-catalog/default/dwbb259ca6/productimages/singlepackshot/193654C01_RGB.png" TargetMode="External"/><Relationship Id="rId2874" Type="http://schemas.openxmlformats.org/officeDocument/2006/relationships/hyperlink" Target="https://us.pandora.net/on/demandware.static/-/Sites-pandora-master-catalog/default/dwbb259ca6/productimages/singlepackshot/763824C00_RGB.png" TargetMode="External"/><Relationship Id="rId846" Type="http://schemas.openxmlformats.org/officeDocument/2006/relationships/hyperlink" Target="https://us.pandora.net/on/demandware.static/-/Sites-pandora-master-catalog/default/dwbb259ca6/productimages/singlepackshot/190050C01_RGB.png" TargetMode="External"/><Relationship Id="rId1129" Type="http://schemas.openxmlformats.org/officeDocument/2006/relationships/hyperlink" Target="https://us.pandora.net/on/demandware.static/-/Sites-pandora-master-catalog/default/dwbb259ca6/productimages/singlepackshot/192993C09_RGB.png" TargetMode="External"/><Relationship Id="rId1683" Type="http://schemas.openxmlformats.org/officeDocument/2006/relationships/hyperlink" Target="https://us.pandora.net/on/demandware.static/-/Sites-pandora-master-catalog/default/dwbb259ca6/productimages/singlepackshot/198018_RGB.png" TargetMode="External"/><Relationship Id="rId1890" Type="http://schemas.openxmlformats.org/officeDocument/2006/relationships/hyperlink" Target="https://us.pandora.net/on/demandware.static/-/Sites-pandora-master-catalog/default/dwbb259ca6/productimages/singlepackshot/291199C01_RGB.png" TargetMode="External"/><Relationship Id="rId2527" Type="http://schemas.openxmlformats.org/officeDocument/2006/relationships/hyperlink" Target="https://us.pandora.net/on/demandware.static/-/Sites-pandora-master-catalog/default/dwbb259ca6/productimages/singlepackshot/592793C00_RGB.png" TargetMode="External"/><Relationship Id="rId2734" Type="http://schemas.openxmlformats.org/officeDocument/2006/relationships/hyperlink" Target="https://us.pandora.net/on/demandware.static/-/Sites-pandora-master-catalog/default/dwbb259ca6/productimages/singlepackshot/599523C00_RGB.png" TargetMode="External"/><Relationship Id="rId2941" Type="http://schemas.openxmlformats.org/officeDocument/2006/relationships/hyperlink" Target="https://us.pandora.net/on/demandware.static/-/Sites-pandora-master-catalog/default/dwbb259ca6/productimages/singlepackshot/764215C00_RGB.png" TargetMode="External"/><Relationship Id="rId706" Type="http://schemas.openxmlformats.org/officeDocument/2006/relationships/hyperlink" Target="https://us.pandora.net/on/demandware.static/-/Sites-pandora-master-catalog/default/dwbb259ca6/productimages/singlepackshot/183100C01_RGB.png" TargetMode="External"/><Relationship Id="rId913" Type="http://schemas.openxmlformats.org/officeDocument/2006/relationships/hyperlink" Target="https://us.pandora.net/on/demandware.static/-/Sites-pandora-master-catalog/default/dwbb259ca6/productimages/singlepackshot/190945CZ_RGB.png" TargetMode="External"/><Relationship Id="rId1336" Type="http://schemas.openxmlformats.org/officeDocument/2006/relationships/hyperlink" Target="https://us.pandora.net/on/demandware.static/-/Sites-pandora-master-catalog/default/dwbb259ca6/productimages/singlepackshot/193325C01_RGB.png" TargetMode="External"/><Relationship Id="rId1543" Type="http://schemas.openxmlformats.org/officeDocument/2006/relationships/hyperlink" Target="https://us.pandora.net/on/demandware.static/-/Sites-pandora-master-catalog/default/dwbb259ca6/productimages/singlepackshot/193890C00_RGB.png" TargetMode="External"/><Relationship Id="rId1750" Type="http://schemas.openxmlformats.org/officeDocument/2006/relationships/hyperlink" Target="https://us.pandora.net/on/demandware.static/-/Sites-pandora-master-catalog/default/dwbb259ca6/productimages/singlepackshot/198691C01_RGB.png" TargetMode="External"/><Relationship Id="rId2801" Type="http://schemas.openxmlformats.org/officeDocument/2006/relationships/hyperlink" Target="https://us.pandora.net/on/demandware.static/-/Sites-pandora-master-catalog/default/dwbb259ca6/productimages/singlepackshot/762751C01_RGB.png" TargetMode="External"/><Relationship Id="rId42" Type="http://schemas.openxmlformats.org/officeDocument/2006/relationships/hyperlink" Target="https://us.pandora.net/on/demandware.static/-/Sites-pandora-master-catalog/default/dwbb259ca6/productimages/singlepackshot/162232C01_RGB.png" TargetMode="External"/><Relationship Id="rId1403" Type="http://schemas.openxmlformats.org/officeDocument/2006/relationships/hyperlink" Target="https://us.pandora.net/on/demandware.static/-/Sites-pandora-master-catalog/default/dwbb259ca6/productimages/singlepackshot/193555C01_RGB.png" TargetMode="External"/><Relationship Id="rId1610" Type="http://schemas.openxmlformats.org/officeDocument/2006/relationships/hyperlink" Target="https://us.pandora.net/on/demandware.static/-/Sites-pandora-master-catalog/default/dwbb259ca6/productimages/singlepackshot/194269C03_RGB.png" TargetMode="External"/><Relationship Id="rId3368" Type="http://schemas.openxmlformats.org/officeDocument/2006/relationships/hyperlink" Target="https://us.pandora.net/on/demandware.static/-/Sites-pandora-master-catalog/default/dwbb259ca6/productimages/singlepackshot/794026C01_RGB.png" TargetMode="External"/><Relationship Id="rId289" Type="http://schemas.openxmlformats.org/officeDocument/2006/relationships/hyperlink" Target="https://us.pandora.net/on/demandware.static/-/Sites-pandora-master-catalog/default/dwbb259ca6/productimages/singlepackshot/163554C01_RGB.png" TargetMode="External"/><Relationship Id="rId496" Type="http://schemas.openxmlformats.org/officeDocument/2006/relationships/hyperlink" Target="https://us.pandora.net/on/demandware.static/-/Sites-pandora-master-catalog/default/dwbb259ca6/productimages/singlepackshot/166574C01_RGB.png" TargetMode="External"/><Relationship Id="rId2177" Type="http://schemas.openxmlformats.org/officeDocument/2006/relationships/hyperlink" Target="https://us.pandora.net/on/demandware.static/-/Sites-pandora-master-catalog/default/dwbb259ca6/productimages/singlepackshot/563390C00_RGB.png" TargetMode="External"/><Relationship Id="rId2384" Type="http://schemas.openxmlformats.org/officeDocument/2006/relationships/hyperlink" Target="https://us.pandora.net/on/demandware.static/-/Sites-pandora-master-catalog/default/dwbb259ca6/productimages/singlepackshot/589285C00_RGB.png" TargetMode="External"/><Relationship Id="rId2591" Type="http://schemas.openxmlformats.org/officeDocument/2006/relationships/hyperlink" Target="https://us.pandora.net/on/demandware.static/-/Sites-pandora-master-catalog/default/dwbb259ca6/productimages/singlepackshot/593584C01_RGB.png" TargetMode="External"/><Relationship Id="rId3228" Type="http://schemas.openxmlformats.org/officeDocument/2006/relationships/hyperlink" Target="https://us.pandora.net/on/demandware.static/-/Sites-pandora-master-catalog/default/dwbb259ca6/productimages/singlepackshot/793332C01_RGB.png" TargetMode="External"/><Relationship Id="rId3435" Type="http://schemas.openxmlformats.org/officeDocument/2006/relationships/hyperlink" Target="https://us.pandora.net/on/demandware.static/-/Sites-pandora-master-catalog/default/dwbb259ca6/productimages/singlepackshot/797466_RGB.png" TargetMode="External"/><Relationship Id="rId149" Type="http://schemas.openxmlformats.org/officeDocument/2006/relationships/hyperlink" Target="https://us.pandora.net/on/demandware.static/-/Sites-pandora-master-catalog/default/dwbb259ca6/productimages/singlepackshot/163146C01_RGB.png" TargetMode="External"/><Relationship Id="rId356" Type="http://schemas.openxmlformats.org/officeDocument/2006/relationships/hyperlink" Target="https://us.pandora.net/on/demandware.static/-/Sites-pandora-master-catalog/default/dwbb259ca6/productimages/singlepackshot/163759C01_RGB.png" TargetMode="External"/><Relationship Id="rId563" Type="http://schemas.openxmlformats.org/officeDocument/2006/relationships/hyperlink" Target="https://us.pandora.net/on/demandware.static/-/Sites-pandora-master-catalog/default/dwbb259ca6/productimages/singlepackshot/168758C01_RGB.png" TargetMode="External"/><Relationship Id="rId770" Type="http://schemas.openxmlformats.org/officeDocument/2006/relationships/hyperlink" Target="https://us.pandora.net/on/demandware.static/-/Sites-pandora-master-catalog/default/dwbb259ca6/productimages/singlepackshot/188421C04_RGB.png" TargetMode="External"/><Relationship Id="rId1193" Type="http://schemas.openxmlformats.org/officeDocument/2006/relationships/hyperlink" Target="https://us.pandora.net/on/demandware.static/-/Sites-pandora-master-catalog/default/dwbb259ca6/productimages/singlepackshot/193088C01_RGB.png" TargetMode="External"/><Relationship Id="rId2037" Type="http://schemas.openxmlformats.org/officeDocument/2006/relationships/hyperlink" Target="https://us.pandora.net/on/demandware.static/-/Sites-pandora-master-catalog/default/dwbb259ca6/productimages/singlepackshot/392303C00_RGB.png" TargetMode="External"/><Relationship Id="rId2244" Type="http://schemas.openxmlformats.org/officeDocument/2006/relationships/hyperlink" Target="https://us.pandora.net/on/demandware.static/-/Sites-pandora-master-catalog/default/dwbb259ca6/productimages/singlepackshot/564019C01_RGB.png" TargetMode="External"/><Relationship Id="rId2451" Type="http://schemas.openxmlformats.org/officeDocument/2006/relationships/hyperlink" Target="https://us.pandora.net/on/demandware.static/-/Sites-pandora-master-catalog/default/dwbb259ca6/productimages/singlepackshot/590727CZ_RGB.png" TargetMode="External"/><Relationship Id="rId216" Type="http://schemas.openxmlformats.org/officeDocument/2006/relationships/hyperlink" Target="https://us.pandora.net/on/demandware.static/-/Sites-pandora-master-catalog/default/dwbb259ca6/productimages/singlepackshot/163314C00_RGB.png" TargetMode="External"/><Relationship Id="rId423" Type="http://schemas.openxmlformats.org/officeDocument/2006/relationships/hyperlink" Target="https://us.pandora.net/on/demandware.static/-/Sites-pandora-master-catalog/default/dwbb259ca6/productimages/singlepackshot/163885C00_RGB.png" TargetMode="External"/><Relationship Id="rId1053" Type="http://schemas.openxmlformats.org/officeDocument/2006/relationships/hyperlink" Target="https://us.pandora.net/on/demandware.static/-/Sites-pandora-master-catalog/default/dwbb259ca6/productimages/singlepackshot/192611C01_RGB.png" TargetMode="External"/><Relationship Id="rId1260" Type="http://schemas.openxmlformats.org/officeDocument/2006/relationships/hyperlink" Target="https://us.pandora.net/on/demandware.static/-/Sites-pandora-master-catalog/default/dwbb259ca6/productimages/singlepackshot/193145C01_RGB.png" TargetMode="External"/><Relationship Id="rId2104" Type="http://schemas.openxmlformats.org/officeDocument/2006/relationships/hyperlink" Target="https://us.pandora.net/on/demandware.static/-/Sites-pandora-master-catalog/default/dwbb259ca6/productimages/singlepackshot/398610C00_RGB.png" TargetMode="External"/><Relationship Id="rId3502" Type="http://schemas.openxmlformats.org/officeDocument/2006/relationships/hyperlink" Target="https://us.pandora.net/on/demandware.static/-/Sites-pandora-master-catalog/default/dwbb259ca6/productimages/singlepackshot/798873C01_RGB.png" TargetMode="External"/><Relationship Id="rId630" Type="http://schemas.openxmlformats.org/officeDocument/2006/relationships/hyperlink" Target="https://us.pandora.net/on/demandware.static/-/Sites-pandora-master-catalog/default/dwbb259ca6/productimages/singlepackshot/182392C01_RGB.png" TargetMode="External"/><Relationship Id="rId2311" Type="http://schemas.openxmlformats.org/officeDocument/2006/relationships/hyperlink" Target="https://us.pandora.net/on/demandware.static/-/Sites-pandora-master-catalog/default/dwbb259ca6/productimages/singlepackshot/569539C00_RGB.png" TargetMode="External"/><Relationship Id="rId1120" Type="http://schemas.openxmlformats.org/officeDocument/2006/relationships/hyperlink" Target="https://us.pandora.net/on/demandware.static/-/Sites-pandora-master-catalog/default/dwbb259ca6/productimages/singlepackshot/192993C07_RGB.png" TargetMode="External"/><Relationship Id="rId1937" Type="http://schemas.openxmlformats.org/officeDocument/2006/relationships/hyperlink" Target="https://us.pandora.net/on/demandware.static/-/Sites-pandora-master-catalog/default/dwbb259ca6/productimages/singlepackshot/293355C00_RGB.png" TargetMode="External"/><Relationship Id="rId3085" Type="http://schemas.openxmlformats.org/officeDocument/2006/relationships/hyperlink" Target="https://us.pandora.net/on/demandware.static/-/Sites-pandora-master-catalog/default/dwbb259ca6/productimages/singlepackshot/791872_RGB.png" TargetMode="External"/><Relationship Id="rId3292" Type="http://schemas.openxmlformats.org/officeDocument/2006/relationships/hyperlink" Target="https://us.pandora.net/on/demandware.static/-/Sites-pandora-master-catalog/default/dwbb259ca6/productimages/singlepackshot/793626C01_RGB.png" TargetMode="External"/><Relationship Id="rId3152" Type="http://schemas.openxmlformats.org/officeDocument/2006/relationships/hyperlink" Target="https://us.pandora.net/on/demandware.static/-/Sites-pandora-master-catalog/default/dwbb259ca6/productimages/singlepackshot/792695C01_RGB.png" TargetMode="External"/><Relationship Id="rId280" Type="http://schemas.openxmlformats.org/officeDocument/2006/relationships/hyperlink" Target="https://us.pandora.net/on/demandware.static/-/Sites-pandora-master-catalog/default/dwbb259ca6/productimages/singlepackshot/163552C01_RGB.png" TargetMode="External"/><Relationship Id="rId3012" Type="http://schemas.openxmlformats.org/officeDocument/2006/relationships/hyperlink" Target="https://us.pandora.net/on/demandware.static/-/Sites-pandora-master-catalog/default/dwbb259ca6/productimages/singlepackshot/789144C00_RGB.png" TargetMode="External"/><Relationship Id="rId140" Type="http://schemas.openxmlformats.org/officeDocument/2006/relationships/hyperlink" Target="https://us.pandora.net/on/demandware.static/-/Sites-pandora-master-catalog/default/dwbb259ca6/productimages/singlepackshot/163100C01_RGB.png" TargetMode="External"/><Relationship Id="rId6" Type="http://schemas.openxmlformats.org/officeDocument/2006/relationships/hyperlink" Target="https://us.pandora.net/on/demandware.static/-/Sites-pandora-master-catalog/default/dwbb259ca6/productimages/singlepackshot/160050C01_RGB.png" TargetMode="External"/><Relationship Id="rId2778" Type="http://schemas.openxmlformats.org/officeDocument/2006/relationships/hyperlink" Target="https://us.pandora.net/on/demandware.static/-/Sites-pandora-master-catalog/default/dwbb259ca6/productimages/singlepackshot/762517C01_RGB.png" TargetMode="External"/><Relationship Id="rId2985" Type="http://schemas.openxmlformats.org/officeDocument/2006/relationships/hyperlink" Target="https://us.pandora.net/on/demandware.static/-/Sites-pandora-master-catalog/default/dwbb259ca6/productimages/singlepackshot/782642C00_RGB.png" TargetMode="External"/><Relationship Id="rId957" Type="http://schemas.openxmlformats.org/officeDocument/2006/relationships/hyperlink" Target="https://us.pandora.net/on/demandware.static/-/Sites-pandora-master-catalog/default/dwbb259ca6/productimages/singlepackshot/191198C01_RGB.png" TargetMode="External"/><Relationship Id="rId1587" Type="http://schemas.openxmlformats.org/officeDocument/2006/relationships/hyperlink" Target="https://us.pandora.net/on/demandware.static/-/Sites-pandora-master-catalog/default/dwbb259ca6/productimages/singlepackshot/194258C00_RGB.png" TargetMode="External"/><Relationship Id="rId1794" Type="http://schemas.openxmlformats.org/officeDocument/2006/relationships/hyperlink" Target="https://us.pandora.net/on/demandware.static/-/Sites-pandora-master-catalog/default/dwbb259ca6/productimages/singlepackshot/199491C01_RGB.png" TargetMode="External"/><Relationship Id="rId2638" Type="http://schemas.openxmlformats.org/officeDocument/2006/relationships/hyperlink" Target="https://us.pandora.net/on/demandware.static/-/Sites-pandora-master-catalog/default/dwbb259ca6/productimages/singlepackshot/594028C00_RGB.png" TargetMode="External"/><Relationship Id="rId2845" Type="http://schemas.openxmlformats.org/officeDocument/2006/relationships/hyperlink" Target="https://us.pandora.net/on/demandware.static/-/Sites-pandora-master-catalog/default/dwbb259ca6/productimages/singlepackshot/763513C00_RGB.png" TargetMode="External"/><Relationship Id="rId86" Type="http://schemas.openxmlformats.org/officeDocument/2006/relationships/hyperlink" Target="https://us.pandora.net/on/demandware.static/-/Sites-pandora-master-catalog/default/dwbb259ca6/productimages/singlepackshot/162674C01_RGB.png" TargetMode="External"/><Relationship Id="rId817" Type="http://schemas.openxmlformats.org/officeDocument/2006/relationships/hyperlink" Target="https://us.pandora.net/on/demandware.static/-/Sites-pandora-master-catalog/default/dwbb259ca6/productimages/singlepackshot/189679C01_RGB.png" TargetMode="External"/><Relationship Id="rId1447" Type="http://schemas.openxmlformats.org/officeDocument/2006/relationships/hyperlink" Target="https://us.pandora.net/on/demandware.static/-/Sites-pandora-master-catalog/default/dwbb259ca6/productimages/singlepackshot/193582C01_RGB.png" TargetMode="External"/><Relationship Id="rId1654" Type="http://schemas.openxmlformats.org/officeDocument/2006/relationships/hyperlink" Target="https://us.pandora.net/on/demandware.static/-/Sites-pandora-master-catalog/default/dwbb259ca6/productimages/singlepackshot/196316CZ_RGB.png" TargetMode="External"/><Relationship Id="rId1861" Type="http://schemas.openxmlformats.org/officeDocument/2006/relationships/hyperlink" Target="https://us.pandora.net/on/demandware.static/-/Sites-pandora-master-catalog/default/dwbb259ca6/productimages/singlepackshot/268307C00_RGB.png" TargetMode="External"/><Relationship Id="rId2705" Type="http://schemas.openxmlformats.org/officeDocument/2006/relationships/hyperlink" Target="https://us.pandora.net/on/demandware.static/-/Sites-pandora-master-catalog/default/dwbb259ca6/productimages/singlepackshot/599190C01_RGB.png" TargetMode="External"/><Relationship Id="rId2912" Type="http://schemas.openxmlformats.org/officeDocument/2006/relationships/hyperlink" Target="https://us.pandora.net/on/demandware.static/-/Sites-pandora-master-catalog/default/dwbb259ca6/productimages/singlepackshot/763974C01_RGB.png" TargetMode="External"/><Relationship Id="rId1307" Type="http://schemas.openxmlformats.org/officeDocument/2006/relationships/hyperlink" Target="https://us.pandora.net/on/demandware.static/-/Sites-pandora-master-catalog/default/dwbb259ca6/productimages/singlepackshot/193288C00_RGB.png" TargetMode="External"/><Relationship Id="rId1514" Type="http://schemas.openxmlformats.org/officeDocument/2006/relationships/hyperlink" Target="https://us.pandora.net/on/demandware.static/-/Sites-pandora-master-catalog/default/dwbb259ca6/productimages/singlepackshot/193777C01_RGB.png" TargetMode="External"/><Relationship Id="rId1721" Type="http://schemas.openxmlformats.org/officeDocument/2006/relationships/hyperlink" Target="https://us.pandora.net/on/demandware.static/-/Sites-pandora-master-catalog/default/dwbb259ca6/productimages/singlepackshot/198421C03_RGB.png" TargetMode="External"/><Relationship Id="rId13" Type="http://schemas.openxmlformats.org/officeDocument/2006/relationships/hyperlink" Target="https://us.pandora.net/on/demandware.static/-/Sites-pandora-master-catalog/default/dwbb259ca6/productimages/singlepackshot/160779C01_RGB.png" TargetMode="External"/><Relationship Id="rId3479" Type="http://schemas.openxmlformats.org/officeDocument/2006/relationships/hyperlink" Target="https://us.pandora.net/on/demandware.static/-/Sites-pandora-master-catalog/default/dwbb259ca6/productimages/singlepackshot/798419C01_RGB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57"/>
  <sheetViews>
    <sheetView tabSelected="1" workbookViewId="0">
      <selection activeCell="C1" sqref="C1"/>
    </sheetView>
  </sheetViews>
  <sheetFormatPr defaultColWidth="8.85546875" defaultRowHeight="15" x14ac:dyDescent="0.25"/>
  <cols>
    <col min="1" max="1" width="16.42578125" customWidth="1"/>
    <col min="2" max="2" width="10.42578125" customWidth="1"/>
    <col min="3" max="3" width="13.7109375" hidden="1" customWidth="1"/>
    <col min="4" max="4" width="12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25">
      <c r="A2" s="3" t="s">
        <v>4</v>
      </c>
      <c r="B2" s="4">
        <v>109</v>
      </c>
      <c r="C2" s="3" t="str">
        <f ca="1">IFERROR(ROWSDUMMYFUNCTION(IF(A2="","",IFERROR(IMAGE(CONCATENATE("https://us.pandora.net/on/demandware.static/-/Sites-pandora-master-catalog/default/dwbb259ca6/productimages/singlepackshot/",LEFT(A2,FIND("-",A2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2" s="5" t="str">
        <f ca="1">IFERROR(ROWSDUMMYFUNCTION(IF(A2="","",CONCATENATE("https://us.pandora.net/on/demandware.static/-/Sites-pandora-master-catalog/default/dwbb259ca6/productimages/singlepackshot/",LEFT(A2,FIND("-",A2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3" spans="1:4" x14ac:dyDescent="0.25">
      <c r="A3" s="3" t="s">
        <v>5</v>
      </c>
      <c r="B3" s="4">
        <v>109</v>
      </c>
      <c r="C3" s="3" t="str">
        <f ca="1">IFERROR(ROWSDUMMYFUNCTION(IF(A3="","",IFERROR(IMAGE(CONCATENATE("https://us.pandora.net/on/demandware.static/-/Sites-pandora-master-catalog/default/dwbb259ca6/productimages/singlepackshot/",LEFT(A3,FIND("-",A3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3" s="5" t="str">
        <f ca="1">IFERROR(ROWSDUMMYFUNCTION(IF(A3="","",CONCATENATE("https://us.pandora.net/on/demandware.static/-/Sites-pandora-master-catalog/default/dwbb259ca6/productimages/singlepackshot/",LEFT(A3,FIND("-",A3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4" spans="1:4" x14ac:dyDescent="0.25">
      <c r="A4" s="3" t="s">
        <v>6</v>
      </c>
      <c r="B4" s="4">
        <v>109</v>
      </c>
      <c r="C4" s="3" t="str">
        <f ca="1">IFERROR(ROWSDUMMYFUNCTION(IF(A4="","",IFERROR(IMAGE(CONCATENATE("https://us.pandora.net/on/demandware.static/-/Sites-pandora-master-catalog/default/dwbb259ca6/productimages/singlepackshot/",LEFT(A4,FIND("-",A4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4" s="5" t="str">
        <f ca="1">IFERROR(ROWSDUMMYFUNCTION(IF(A4="","",CONCATENATE("https://us.pandora.net/on/demandware.static/-/Sites-pandora-master-catalog/default/dwbb259ca6/productimages/singlepackshot/",LEFT(A4,FIND("-",A4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5" spans="1:4" x14ac:dyDescent="0.25">
      <c r="A5" s="3" t="s">
        <v>7</v>
      </c>
      <c r="B5" s="4">
        <v>109</v>
      </c>
      <c r="C5" s="3" t="str">
        <f ca="1">IFERROR(ROWSDUMMYFUNCTION(IF(A5="","",IFERROR(IMAGE(CONCATENATE("https://us.pandora.net/on/demandware.static/-/Sites-pandora-master-catalog/default/dwbb259ca6/productimages/singlepackshot/",LEFT(A5,FIND("-",A5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5" s="5" t="str">
        <f ca="1">IFERROR(ROWSDUMMYFUNCTION(IF(A5="","",CONCATENATE("https://us.pandora.net/on/demandware.static/-/Sites-pandora-master-catalog/default/dwbb259ca6/productimages/singlepackshot/",LEFT(A5,FIND("-",A5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6" spans="1:4" x14ac:dyDescent="0.25">
      <c r="A6" s="3" t="s">
        <v>8</v>
      </c>
      <c r="B6" s="4">
        <v>109</v>
      </c>
      <c r="C6" s="3" t="str">
        <f ca="1">IFERROR(ROWSDUMMYFUNCTION(IF(A6="","",IFERROR(IMAGE(CONCATENATE("https://us.pandora.net/on/demandware.static/-/Sites-pandora-master-catalog/default/dwbb259ca6/productimages/singlepackshot/",LEFT(A6,FIND("-",A6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6" s="5" t="str">
        <f ca="1">IFERROR(ROWSDUMMYFUNCTION(IF(A6="","",CONCATENATE("https://us.pandora.net/on/demandware.static/-/Sites-pandora-master-catalog/default/dwbb259ca6/productimages/singlepackshot/",LEFT(A6,FIND("-",A6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7" spans="1:4" x14ac:dyDescent="0.25">
      <c r="A7" s="3" t="s">
        <v>9</v>
      </c>
      <c r="B7" s="4">
        <v>109</v>
      </c>
      <c r="C7" s="3" t="str">
        <f ca="1">IFERROR(ROWSDUMMYFUNCTION(IF(A7="","",IFERROR(IMAGE(CONCATENATE("https://us.pandora.net/on/demandware.static/-/Sites-pandora-master-catalog/default/dwbb259ca6/productimages/singlepackshot/",LEFT(A7,FIND("-",A7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7" s="5" t="str">
        <f ca="1">IFERROR(ROWSDUMMYFUNCTION(IF(A7="","",CONCATENATE("https://us.pandora.net/on/demandware.static/-/Sites-pandora-master-catalog/default/dwbb259ca6/productimages/singlepackshot/",LEFT(A7,FIND("-",A7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8" spans="1:4" x14ac:dyDescent="0.25">
      <c r="A8" s="3" t="s">
        <v>10</v>
      </c>
      <c r="B8" s="4">
        <v>109</v>
      </c>
      <c r="C8" s="3" t="str">
        <f ca="1">IFERROR(ROWSDUMMYFUNCTION(IF(A8="","",IFERROR(IMAGE(CONCATENATE("https://us.pandora.net/on/demandware.static/-/Sites-pandora-master-catalog/default/dwbb259ca6/productimages/singlepackshot/",LEFT(A8,FIND("-",A8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8" s="5" t="str">
        <f ca="1">IFERROR(ROWSDUMMYFUNCTION(IF(A8="","",CONCATENATE("https://us.pandora.net/on/demandware.static/-/Sites-pandora-master-catalog/default/dwbb259ca6/productimages/singlepackshot/",LEFT(A8,FIND("-",A8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9" spans="1:4" x14ac:dyDescent="0.25">
      <c r="A9" s="3" t="s">
        <v>11</v>
      </c>
      <c r="B9" s="4">
        <v>109</v>
      </c>
      <c r="C9" s="3" t="str">
        <f ca="1">IFERROR(ROWSDUMMYFUNCTION(IF(A9="","",IFERROR(IMAGE(CONCATENATE("https://us.pandora.net/on/demandware.static/-/Sites-pandora-master-catalog/default/dwbb259ca6/productimages/singlepackshot/",LEFT(A9,FIND("-",A9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9" s="5" t="str">
        <f ca="1">IFERROR(ROWSDUMMYFUNCTION(IF(A9="","",CONCATENATE("https://us.pandora.net/on/demandware.static/-/Sites-pandora-master-catalog/default/dwbb259ca6/productimages/singlepackshot/",LEFT(A9,FIND("-",A9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10" spans="1:4" x14ac:dyDescent="0.25">
      <c r="A10" s="3" t="s">
        <v>12</v>
      </c>
      <c r="B10" s="4">
        <v>109</v>
      </c>
      <c r="C10" s="3" t="str">
        <f ca="1">IFERROR(ROWSDUMMYFUNCTION(IF(A10="","",IFERROR(IMAGE(CONCATENATE("https://us.pandora.net/on/demandware.static/-/Sites-pandora-master-catalog/default/dwbb259ca6/productimages/singlepackshot/",LEFT(A10,FIND("-",A10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10" s="5" t="str">
        <f ca="1">IFERROR(ROWSDUMMYFUNCTION(IF(A10="","",CONCATENATE("https://us.pandora.net/on/demandware.static/-/Sites-pandora-master-catalog/default/dwbb259ca6/productimages/singlepackshot/",LEFT(A10,FIND("-",A10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11" spans="1:4" x14ac:dyDescent="0.25">
      <c r="A11" s="3" t="s">
        <v>13</v>
      </c>
      <c r="B11" s="4">
        <v>109</v>
      </c>
      <c r="C11" s="3" t="str">
        <f ca="1">IFERROR(ROWSDUMMYFUNCTION(IF(A11="","",IFERROR(IMAGE(CONCATENATE("https://us.pandora.net/on/demandware.static/-/Sites-pandora-master-catalog/default/dwbb259ca6/productimages/singlepackshot/",LEFT(A11,FIND("-",A11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11" s="5" t="str">
        <f ca="1">IFERROR(ROWSDUMMYFUNCTION(IF(A11="","",CONCATENATE("https://us.pandora.net/on/demandware.static/-/Sites-pandora-master-catalog/default/dwbb259ca6/productimages/singlepackshot/",LEFT(A11,FIND("-",A11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12" spans="1:4" x14ac:dyDescent="0.25">
      <c r="A12" s="3" t="s">
        <v>14</v>
      </c>
      <c r="B12" s="4">
        <v>109</v>
      </c>
      <c r="C12" s="3" t="str">
        <f ca="1">IFERROR(ROWSDUMMYFUNCTION(IF(A12="","",IFERROR(IMAGE(CONCATENATE("https://us.pandora.net/on/demandware.static/-/Sites-pandora-master-catalog/default/dwbb259ca6/productimages/singlepackshot/",LEFT(A12,FIND("-",A12&amp;"-")-1),"_RGB.png")),""))),"{""url"":""https://us.pandora.net/on/demandware.static/-/Sites-pandora-master-catalog/default/dwbb259ca6/productimages/singlepackshot/160050C01_RGB.png"",""mode"":1}")</f>
        <v>{"url":"https://us.pandora.net/on/demandware.static/-/Sites-pandora-master-catalog/default/dwbb259ca6/productimages/singlepackshot/160050C01_RGB.png","mode":1}</v>
      </c>
      <c r="D12" s="5" t="str">
        <f ca="1">IFERROR(ROWSDUMMYFUNCTION(IF(A12="","",CONCATENATE("https://us.pandora.net/on/demandware.static/-/Sites-pandora-master-catalog/default/dwbb259ca6/productimages/singlepackshot/",LEFT(A12,FIND("-",A12&amp;"-")-1),"_RGB.png"))),"https://us.pandora.net/on/demandware.static/-/Sites-pandora-master-catalog/default/dwbb259ca6/productimages/singlepackshot/160050C01_RGB.png")</f>
        <v>https://us.pandora.net/on/demandware.static/-/Sites-pandora-master-catalog/default/dwbb259ca6/productimages/singlepackshot/160050C01_RGB.png</v>
      </c>
    </row>
    <row r="13" spans="1:4" x14ac:dyDescent="0.25">
      <c r="A13" s="3" t="s">
        <v>15</v>
      </c>
      <c r="B13" s="4">
        <v>89</v>
      </c>
      <c r="C13" s="3" t="str">
        <f ca="1">IFERROR(ROWSDUMMYFUNCTION(IF(A13="","",IFERROR(IMAGE(CONCATENATE("https://us.pandora.net/on/demandware.static/-/Sites-pandora-master-catalog/default/dwbb259ca6/productimages/singlepackshot/",LEFT(A13,FIND("-",A13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3" s="5" t="str">
        <f ca="1">IFERROR(ROWSDUMMYFUNCTION(IF(A13="","",CONCATENATE("https://us.pandora.net/on/demandware.static/-/Sites-pandora-master-catalog/default/dwbb259ca6/productimages/singlepackshot/",LEFT(A13,FIND("-",A13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14" spans="1:4" x14ac:dyDescent="0.25">
      <c r="A14" s="3" t="s">
        <v>16</v>
      </c>
      <c r="B14" s="4">
        <v>89</v>
      </c>
      <c r="C14" s="3" t="str">
        <f ca="1">IFERROR(ROWSDUMMYFUNCTION(IF(A14="","",IFERROR(IMAGE(CONCATENATE("https://us.pandora.net/on/demandware.static/-/Sites-pandora-master-catalog/default/dwbb259ca6/productimages/singlepackshot/",LEFT(A14,FIND("-",A14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4" s="5" t="str">
        <f ca="1">IFERROR(ROWSDUMMYFUNCTION(IF(A14="","",CONCATENATE("https://us.pandora.net/on/demandware.static/-/Sites-pandora-master-catalog/default/dwbb259ca6/productimages/singlepackshot/",LEFT(A14,FIND("-",A14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15" spans="1:4" x14ac:dyDescent="0.25">
      <c r="A15" s="3" t="s">
        <v>17</v>
      </c>
      <c r="B15" s="4">
        <v>89</v>
      </c>
      <c r="C15" s="3" t="str">
        <f ca="1">IFERROR(ROWSDUMMYFUNCTION(IF(A15="","",IFERROR(IMAGE(CONCATENATE("https://us.pandora.net/on/demandware.static/-/Sites-pandora-master-catalog/default/dwbb259ca6/productimages/singlepackshot/",LEFT(A15,FIND("-",A15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5" s="5" t="str">
        <f ca="1">IFERROR(ROWSDUMMYFUNCTION(IF(A15="","",CONCATENATE("https://us.pandora.net/on/demandware.static/-/Sites-pandora-master-catalog/default/dwbb259ca6/productimages/singlepackshot/",LEFT(A15,FIND("-",A15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16" spans="1:4" x14ac:dyDescent="0.25">
      <c r="A16" s="3" t="s">
        <v>18</v>
      </c>
      <c r="B16" s="4">
        <v>89</v>
      </c>
      <c r="C16" s="3" t="str">
        <f ca="1">IFERROR(ROWSDUMMYFUNCTION(IF(A16="","",IFERROR(IMAGE(CONCATENATE("https://us.pandora.net/on/demandware.static/-/Sites-pandora-master-catalog/default/dwbb259ca6/productimages/singlepackshot/",LEFT(A16,FIND("-",A16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6" s="5" t="str">
        <f ca="1">IFERROR(ROWSDUMMYFUNCTION(IF(A16="","",CONCATENATE("https://us.pandora.net/on/demandware.static/-/Sites-pandora-master-catalog/default/dwbb259ca6/productimages/singlepackshot/",LEFT(A16,FIND("-",A16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17" spans="1:4" x14ac:dyDescent="0.25">
      <c r="A17" s="3" t="s">
        <v>19</v>
      </c>
      <c r="B17" s="4">
        <v>89</v>
      </c>
      <c r="C17" s="3" t="str">
        <f ca="1">IFERROR(ROWSDUMMYFUNCTION(IF(A17="","",IFERROR(IMAGE(CONCATENATE("https://us.pandora.net/on/demandware.static/-/Sites-pandora-master-catalog/default/dwbb259ca6/productimages/singlepackshot/",LEFT(A17,FIND("-",A17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7" s="5" t="str">
        <f ca="1">IFERROR(ROWSDUMMYFUNCTION(IF(A17="","",CONCATENATE("https://us.pandora.net/on/demandware.static/-/Sites-pandora-master-catalog/default/dwbb259ca6/productimages/singlepackshot/",LEFT(A17,FIND("-",A17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18" spans="1:4" x14ac:dyDescent="0.25">
      <c r="A18" s="3" t="s">
        <v>20</v>
      </c>
      <c r="B18" s="4">
        <v>89</v>
      </c>
      <c r="C18" s="3" t="str">
        <f ca="1">IFERROR(ROWSDUMMYFUNCTION(IF(A18="","",IFERROR(IMAGE(CONCATENATE("https://us.pandora.net/on/demandware.static/-/Sites-pandora-master-catalog/default/dwbb259ca6/productimages/singlepackshot/",LEFT(A18,FIND("-",A18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8" s="5" t="str">
        <f ca="1">IFERROR(ROWSDUMMYFUNCTION(IF(A18="","",CONCATENATE("https://us.pandora.net/on/demandware.static/-/Sites-pandora-master-catalog/default/dwbb259ca6/productimages/singlepackshot/",LEFT(A18,FIND("-",A18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19" spans="1:4" x14ac:dyDescent="0.25">
      <c r="A19" s="3" t="s">
        <v>21</v>
      </c>
      <c r="B19" s="4">
        <v>89</v>
      </c>
      <c r="C19" s="3" t="str">
        <f ca="1">IFERROR(ROWSDUMMYFUNCTION(IF(A19="","",IFERROR(IMAGE(CONCATENATE("https://us.pandora.net/on/demandware.static/-/Sites-pandora-master-catalog/default/dwbb259ca6/productimages/singlepackshot/",LEFT(A19,FIND("-",A19&amp;"-")-1),"_RGB.png")),""))),"{""url"":""https://us.pandora.net/on/demandware.static/-/Sites-pandora-master-catalog/default/dwbb259ca6/productimages/singlepackshot/160779C01_RGB.png"",""mode"":1}")</f>
        <v>{"url":"https://us.pandora.net/on/demandware.static/-/Sites-pandora-master-catalog/default/dwbb259ca6/productimages/singlepackshot/160779C01_RGB.png","mode":1}</v>
      </c>
      <c r="D19" s="5" t="str">
        <f ca="1">IFERROR(ROWSDUMMYFUNCTION(IF(A19="","",CONCATENATE("https://us.pandora.net/on/demandware.static/-/Sites-pandora-master-catalog/default/dwbb259ca6/productimages/singlepackshot/",LEFT(A19,FIND("-",A19&amp;"-")-1),"_RGB.png"))),"https://us.pandora.net/on/demandware.static/-/Sites-pandora-master-catalog/default/dwbb259ca6/productimages/singlepackshot/160779C01_RGB.png")</f>
        <v>https://us.pandora.net/on/demandware.static/-/Sites-pandora-master-catalog/default/dwbb259ca6/productimages/singlepackshot/160779C01_RGB.png</v>
      </c>
    </row>
    <row r="20" spans="1:4" x14ac:dyDescent="0.25">
      <c r="A20" s="3" t="s">
        <v>22</v>
      </c>
      <c r="B20" s="4">
        <v>119</v>
      </c>
      <c r="C20" s="3" t="str">
        <f ca="1">IFERROR(ROWSDUMMYFUNCTION(IF(A20="","",IFERROR(IMAGE(CONCATENATE("https://us.pandora.net/on/demandware.static/-/Sites-pandora-master-catalog/default/dwbb259ca6/productimages/singlepackshot/",LEFT(A20,FIND("-",A20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0" s="5" t="str">
        <f ca="1">IFERROR(ROWSDUMMYFUNCTION(IF(A20="","",CONCATENATE("https://us.pandora.net/on/demandware.static/-/Sites-pandora-master-catalog/default/dwbb259ca6/productimages/singlepackshot/",LEFT(A20,FIND("-",A20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1" spans="1:4" x14ac:dyDescent="0.25">
      <c r="A21" s="3" t="s">
        <v>23</v>
      </c>
      <c r="B21" s="4">
        <v>119</v>
      </c>
      <c r="C21" s="3" t="str">
        <f ca="1">IFERROR(ROWSDUMMYFUNCTION(IF(A21="","",IFERROR(IMAGE(CONCATENATE("https://us.pandora.net/on/demandware.static/-/Sites-pandora-master-catalog/default/dwbb259ca6/productimages/singlepackshot/",LEFT(A21,FIND("-",A21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1" s="5" t="str">
        <f ca="1">IFERROR(ROWSDUMMYFUNCTION(IF(A21="","",CONCATENATE("https://us.pandora.net/on/demandware.static/-/Sites-pandora-master-catalog/default/dwbb259ca6/productimages/singlepackshot/",LEFT(A21,FIND("-",A21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2" spans="1:4" x14ac:dyDescent="0.25">
      <c r="A22" s="3" t="s">
        <v>24</v>
      </c>
      <c r="B22" s="4">
        <v>119</v>
      </c>
      <c r="C22" s="3" t="str">
        <f ca="1">IFERROR(ROWSDUMMYFUNCTION(IF(A22="","",IFERROR(IMAGE(CONCATENATE("https://us.pandora.net/on/demandware.static/-/Sites-pandora-master-catalog/default/dwbb259ca6/productimages/singlepackshot/",LEFT(A22,FIND("-",A22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2" s="5" t="str">
        <f ca="1">IFERROR(ROWSDUMMYFUNCTION(IF(A22="","",CONCATENATE("https://us.pandora.net/on/demandware.static/-/Sites-pandora-master-catalog/default/dwbb259ca6/productimages/singlepackshot/",LEFT(A22,FIND("-",A22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3" spans="1:4" x14ac:dyDescent="0.25">
      <c r="A23" s="3" t="s">
        <v>25</v>
      </c>
      <c r="B23" s="4">
        <v>119</v>
      </c>
      <c r="C23" s="3" t="str">
        <f ca="1">IFERROR(ROWSDUMMYFUNCTION(IF(A23="","",IFERROR(IMAGE(CONCATENATE("https://us.pandora.net/on/demandware.static/-/Sites-pandora-master-catalog/default/dwbb259ca6/productimages/singlepackshot/",LEFT(A23,FIND("-",A23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3" s="5" t="str">
        <f ca="1">IFERROR(ROWSDUMMYFUNCTION(IF(A23="","",CONCATENATE("https://us.pandora.net/on/demandware.static/-/Sites-pandora-master-catalog/default/dwbb259ca6/productimages/singlepackshot/",LEFT(A23,FIND("-",A23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4" spans="1:4" x14ac:dyDescent="0.25">
      <c r="A24" s="3" t="s">
        <v>26</v>
      </c>
      <c r="B24" s="4">
        <v>119</v>
      </c>
      <c r="C24" s="3" t="str">
        <f ca="1">IFERROR(ROWSDUMMYFUNCTION(IF(A24="","",IFERROR(IMAGE(CONCATENATE("https://us.pandora.net/on/demandware.static/-/Sites-pandora-master-catalog/default/dwbb259ca6/productimages/singlepackshot/",LEFT(A24,FIND("-",A24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4" s="5" t="str">
        <f ca="1">IFERROR(ROWSDUMMYFUNCTION(IF(A24="","",CONCATENATE("https://us.pandora.net/on/demandware.static/-/Sites-pandora-master-catalog/default/dwbb259ca6/productimages/singlepackshot/",LEFT(A24,FIND("-",A24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5" spans="1:4" x14ac:dyDescent="0.25">
      <c r="A25" s="3" t="s">
        <v>27</v>
      </c>
      <c r="B25" s="4">
        <v>119</v>
      </c>
      <c r="C25" s="3" t="str">
        <f ca="1">IFERROR(ROWSDUMMYFUNCTION(IF(A25="","",IFERROR(IMAGE(CONCATENATE("https://us.pandora.net/on/demandware.static/-/Sites-pandora-master-catalog/default/dwbb259ca6/productimages/singlepackshot/",LEFT(A25,FIND("-",A25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5" s="5" t="str">
        <f ca="1">IFERROR(ROWSDUMMYFUNCTION(IF(A25="","",CONCATENATE("https://us.pandora.net/on/demandware.static/-/Sites-pandora-master-catalog/default/dwbb259ca6/productimages/singlepackshot/",LEFT(A25,FIND("-",A25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6" spans="1:4" x14ac:dyDescent="0.25">
      <c r="A26" s="3" t="s">
        <v>28</v>
      </c>
      <c r="B26" s="4">
        <v>119</v>
      </c>
      <c r="C26" s="3" t="str">
        <f ca="1">IFERROR(ROWSDUMMYFUNCTION(IF(A26="","",IFERROR(IMAGE(CONCATENATE("https://us.pandora.net/on/demandware.static/-/Sites-pandora-master-catalog/default/dwbb259ca6/productimages/singlepackshot/",LEFT(A26,FIND("-",A26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6" s="5" t="str">
        <f ca="1">IFERROR(ROWSDUMMYFUNCTION(IF(A26="","",CONCATENATE("https://us.pandora.net/on/demandware.static/-/Sites-pandora-master-catalog/default/dwbb259ca6/productimages/singlepackshot/",LEFT(A26,FIND("-",A26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7" spans="1:4" x14ac:dyDescent="0.25">
      <c r="A27" s="3" t="s">
        <v>29</v>
      </c>
      <c r="B27" s="4">
        <v>119</v>
      </c>
      <c r="C27" s="3" t="str">
        <f ca="1">IFERROR(ROWSDUMMYFUNCTION(IF(A27="","",IFERROR(IMAGE(CONCATENATE("https://us.pandora.net/on/demandware.static/-/Sites-pandora-master-catalog/default/dwbb259ca6/productimages/singlepackshot/",LEFT(A27,FIND("-",A27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7" s="5" t="str">
        <f ca="1">IFERROR(ROWSDUMMYFUNCTION(IF(A27="","",CONCATENATE("https://us.pandora.net/on/demandware.static/-/Sites-pandora-master-catalog/default/dwbb259ca6/productimages/singlepackshot/",LEFT(A27,FIND("-",A27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8" spans="1:4" x14ac:dyDescent="0.25">
      <c r="A28" s="3" t="s">
        <v>30</v>
      </c>
      <c r="B28" s="4">
        <v>119</v>
      </c>
      <c r="C28" s="3" t="str">
        <f ca="1">IFERROR(ROWSDUMMYFUNCTION(IF(A28="","",IFERROR(IMAGE(CONCATENATE("https://us.pandora.net/on/demandware.static/-/Sites-pandora-master-catalog/default/dwbb259ca6/productimages/singlepackshot/",LEFT(A28,FIND("-",A28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8" s="5" t="str">
        <f ca="1">IFERROR(ROWSDUMMYFUNCTION(IF(A28="","",CONCATENATE("https://us.pandora.net/on/demandware.static/-/Sites-pandora-master-catalog/default/dwbb259ca6/productimages/singlepackshot/",LEFT(A28,FIND("-",A28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29" spans="1:4" x14ac:dyDescent="0.25">
      <c r="A29" s="3" t="s">
        <v>31</v>
      </c>
      <c r="B29" s="4">
        <v>119</v>
      </c>
      <c r="C29" s="3" t="str">
        <f ca="1">IFERROR(ROWSDUMMYFUNCTION(IF(A29="","",IFERROR(IMAGE(CONCATENATE("https://us.pandora.net/on/demandware.static/-/Sites-pandora-master-catalog/default/dwbb259ca6/productimages/singlepackshot/",LEFT(A29,FIND("-",A29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29" s="5" t="str">
        <f ca="1">IFERROR(ROWSDUMMYFUNCTION(IF(A29="","",CONCATENATE("https://us.pandora.net/on/demandware.static/-/Sites-pandora-master-catalog/default/dwbb259ca6/productimages/singlepackshot/",LEFT(A29,FIND("-",A29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30" spans="1:4" x14ac:dyDescent="0.25">
      <c r="A30" s="3" t="s">
        <v>32</v>
      </c>
      <c r="B30" s="4">
        <v>119</v>
      </c>
      <c r="C30" s="3" t="str">
        <f ca="1">IFERROR(ROWSDUMMYFUNCTION(IF(A30="","",IFERROR(IMAGE(CONCATENATE("https://us.pandora.net/on/demandware.static/-/Sites-pandora-master-catalog/default/dwbb259ca6/productimages/singlepackshot/",LEFT(A30,FIND("-",A30&amp;"-")-1),"_RGB.png")),""))),"{""url"":""https://us.pandora.net/on/demandware.static/-/Sites-pandora-master-catalog/default/dwbb259ca6/productimages/singlepackshot/161198C01_RGB.png"",""mode"":1}")</f>
        <v>{"url":"https://us.pandora.net/on/demandware.static/-/Sites-pandora-master-catalog/default/dwbb259ca6/productimages/singlepackshot/161198C01_RGB.png","mode":1}</v>
      </c>
      <c r="D30" s="5" t="str">
        <f ca="1">IFERROR(ROWSDUMMYFUNCTION(IF(A30="","",CONCATENATE("https://us.pandora.net/on/demandware.static/-/Sites-pandora-master-catalog/default/dwbb259ca6/productimages/singlepackshot/",LEFT(A30,FIND("-",A30&amp;"-")-1),"_RGB.png"))),"https://us.pandora.net/on/demandware.static/-/Sites-pandora-master-catalog/default/dwbb259ca6/productimages/singlepackshot/161198C01_RGB.png")</f>
        <v>https://us.pandora.net/on/demandware.static/-/Sites-pandora-master-catalog/default/dwbb259ca6/productimages/singlepackshot/161198C01_RGB.png</v>
      </c>
    </row>
    <row r="31" spans="1:4" x14ac:dyDescent="0.25">
      <c r="A31" s="3" t="s">
        <v>33</v>
      </c>
      <c r="B31" s="4">
        <v>99</v>
      </c>
      <c r="C31" s="3" t="str">
        <f ca="1">IFERROR(ROWSDUMMYFUNCTION(IF(A31="","",IFERROR(IMAGE(CONCATENATE("https://us.pandora.net/on/demandware.static/-/Sites-pandora-master-catalog/default/dwbb259ca6/productimages/singlepackshot/",LEFT(A31,FIND("-",A31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1" s="5" t="str">
        <f ca="1">IFERROR(ROWSDUMMYFUNCTION(IF(A31="","",CONCATENATE("https://us.pandora.net/on/demandware.static/-/Sites-pandora-master-catalog/default/dwbb259ca6/productimages/singlepackshot/",LEFT(A31,FIND("-",A31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2" spans="1:4" x14ac:dyDescent="0.25">
      <c r="A32" s="3" t="s">
        <v>34</v>
      </c>
      <c r="B32" s="4">
        <v>99</v>
      </c>
      <c r="C32" s="3" t="str">
        <f ca="1">IFERROR(ROWSDUMMYFUNCTION(IF(A32="","",IFERROR(IMAGE(CONCATENATE("https://us.pandora.net/on/demandware.static/-/Sites-pandora-master-catalog/default/dwbb259ca6/productimages/singlepackshot/",LEFT(A32,FIND("-",A32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2" s="5" t="str">
        <f ca="1">IFERROR(ROWSDUMMYFUNCTION(IF(A32="","",CONCATENATE("https://us.pandora.net/on/demandware.static/-/Sites-pandora-master-catalog/default/dwbb259ca6/productimages/singlepackshot/",LEFT(A32,FIND("-",A32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3" spans="1:4" x14ac:dyDescent="0.25">
      <c r="A33" s="3" t="s">
        <v>35</v>
      </c>
      <c r="B33" s="4">
        <v>99</v>
      </c>
      <c r="C33" s="3" t="str">
        <f ca="1">IFERROR(ROWSDUMMYFUNCTION(IF(A33="","",IFERROR(IMAGE(CONCATENATE("https://us.pandora.net/on/demandware.static/-/Sites-pandora-master-catalog/default/dwbb259ca6/productimages/singlepackshot/",LEFT(A33,FIND("-",A33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3" s="5" t="str">
        <f ca="1">IFERROR(ROWSDUMMYFUNCTION(IF(A33="","",CONCATENATE("https://us.pandora.net/on/demandware.static/-/Sites-pandora-master-catalog/default/dwbb259ca6/productimages/singlepackshot/",LEFT(A33,FIND("-",A33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4" spans="1:4" x14ac:dyDescent="0.25">
      <c r="A34" s="3" t="s">
        <v>36</v>
      </c>
      <c r="B34" s="4">
        <v>99</v>
      </c>
      <c r="C34" s="3" t="str">
        <f ca="1">IFERROR(ROWSDUMMYFUNCTION(IF(A34="","",IFERROR(IMAGE(CONCATENATE("https://us.pandora.net/on/demandware.static/-/Sites-pandora-master-catalog/default/dwbb259ca6/productimages/singlepackshot/",LEFT(A34,FIND("-",A34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4" s="5" t="str">
        <f ca="1">IFERROR(ROWSDUMMYFUNCTION(IF(A34="","",CONCATENATE("https://us.pandora.net/on/demandware.static/-/Sites-pandora-master-catalog/default/dwbb259ca6/productimages/singlepackshot/",LEFT(A34,FIND("-",A34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5" spans="1:4" x14ac:dyDescent="0.25">
      <c r="A35" s="3" t="s">
        <v>37</v>
      </c>
      <c r="B35" s="4">
        <v>99</v>
      </c>
      <c r="C35" s="3" t="str">
        <f ca="1">IFERROR(ROWSDUMMYFUNCTION(IF(A35="","",IFERROR(IMAGE(CONCATENATE("https://us.pandora.net/on/demandware.static/-/Sites-pandora-master-catalog/default/dwbb259ca6/productimages/singlepackshot/",LEFT(A35,FIND("-",A35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5" s="5" t="str">
        <f ca="1">IFERROR(ROWSDUMMYFUNCTION(IF(A35="","",CONCATENATE("https://us.pandora.net/on/demandware.static/-/Sites-pandora-master-catalog/default/dwbb259ca6/productimages/singlepackshot/",LEFT(A35,FIND("-",A35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6" spans="1:4" x14ac:dyDescent="0.25">
      <c r="A36" s="3" t="s">
        <v>38</v>
      </c>
      <c r="B36" s="4">
        <v>99</v>
      </c>
      <c r="C36" s="3" t="str">
        <f ca="1">IFERROR(ROWSDUMMYFUNCTION(IF(A36="","",IFERROR(IMAGE(CONCATENATE("https://us.pandora.net/on/demandware.static/-/Sites-pandora-master-catalog/default/dwbb259ca6/productimages/singlepackshot/",LEFT(A36,FIND("-",A36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6" s="5" t="str">
        <f ca="1">IFERROR(ROWSDUMMYFUNCTION(IF(A36="","",CONCATENATE("https://us.pandora.net/on/demandware.static/-/Sites-pandora-master-catalog/default/dwbb259ca6/productimages/singlepackshot/",LEFT(A36,FIND("-",A36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7" spans="1:4" x14ac:dyDescent="0.25">
      <c r="A37" s="3" t="s">
        <v>39</v>
      </c>
      <c r="B37" s="4">
        <v>99</v>
      </c>
      <c r="C37" s="3" t="str">
        <f ca="1">IFERROR(ROWSDUMMYFUNCTION(IF(A37="","",IFERROR(IMAGE(CONCATENATE("https://us.pandora.net/on/demandware.static/-/Sites-pandora-master-catalog/default/dwbb259ca6/productimages/singlepackshot/",LEFT(A37,FIND("-",A37&amp;"-")-1),"_RGB.png")),""))),"{""url"":""https://us.pandora.net/on/demandware.static/-/Sites-pandora-master-catalog/default/dwbb259ca6/productimages/singlepackshot/161234C01_RGB.png"",""mode"":1}")</f>
        <v>{"url":"https://us.pandora.net/on/demandware.static/-/Sites-pandora-master-catalog/default/dwbb259ca6/productimages/singlepackshot/161234C01_RGB.png","mode":1}</v>
      </c>
      <c r="D37" s="5" t="str">
        <f ca="1">IFERROR(ROWSDUMMYFUNCTION(IF(A37="","",CONCATENATE("https://us.pandora.net/on/demandware.static/-/Sites-pandora-master-catalog/default/dwbb259ca6/productimages/singlepackshot/",LEFT(A37,FIND("-",A37&amp;"-")-1),"_RGB.png"))),"https://us.pandora.net/on/demandware.static/-/Sites-pandora-master-catalog/default/dwbb259ca6/productimages/singlepackshot/161234C01_RGB.png")</f>
        <v>https://us.pandora.net/on/demandware.static/-/Sites-pandora-master-catalog/default/dwbb259ca6/productimages/singlepackshot/161234C01_RGB.png</v>
      </c>
    </row>
    <row r="38" spans="1:4" x14ac:dyDescent="0.25">
      <c r="A38" s="3" t="s">
        <v>40</v>
      </c>
      <c r="B38" s="4">
        <v>69</v>
      </c>
      <c r="C38" s="3" t="str">
        <f ca="1">IFERROR(ROWSDUMMYFUNCTION(IF(A38="","",IFERROR(IMAGE(CONCATENATE("https://us.pandora.net/on/demandware.static/-/Sites-pandora-master-catalog/default/dwbb259ca6/productimages/singlepackshot/",LEFT(A38,FIND("-",A38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38" s="5" t="str">
        <f ca="1">IFERROR(ROWSDUMMYFUNCTION(IF(A38="","",CONCATENATE("https://us.pandora.net/on/demandware.static/-/Sites-pandora-master-catalog/default/dwbb259ca6/productimages/singlepackshot/",LEFT(A38,FIND("-",A38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39" spans="1:4" x14ac:dyDescent="0.25">
      <c r="A39" s="3" t="s">
        <v>41</v>
      </c>
      <c r="B39" s="4">
        <v>69</v>
      </c>
      <c r="C39" s="3" t="str">
        <f ca="1">IFERROR(ROWSDUMMYFUNCTION(IF(A39="","",IFERROR(IMAGE(CONCATENATE("https://us.pandora.net/on/demandware.static/-/Sites-pandora-master-catalog/default/dwbb259ca6/productimages/singlepackshot/",LEFT(A39,FIND("-",A39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39" s="5" t="str">
        <f ca="1">IFERROR(ROWSDUMMYFUNCTION(IF(A39="","",CONCATENATE("https://us.pandora.net/on/demandware.static/-/Sites-pandora-master-catalog/default/dwbb259ca6/productimages/singlepackshot/",LEFT(A39,FIND("-",A39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40" spans="1:4" x14ac:dyDescent="0.25">
      <c r="A40" s="3" t="s">
        <v>42</v>
      </c>
      <c r="B40" s="4">
        <v>69</v>
      </c>
      <c r="C40" s="3" t="str">
        <f ca="1">IFERROR(ROWSDUMMYFUNCTION(IF(A40="","",IFERROR(IMAGE(CONCATENATE("https://us.pandora.net/on/demandware.static/-/Sites-pandora-master-catalog/default/dwbb259ca6/productimages/singlepackshot/",LEFT(A40,FIND("-",A40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40" s="5" t="str">
        <f ca="1">IFERROR(ROWSDUMMYFUNCTION(IF(A40="","",CONCATENATE("https://us.pandora.net/on/demandware.static/-/Sites-pandora-master-catalog/default/dwbb259ca6/productimages/singlepackshot/",LEFT(A40,FIND("-",A40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41" spans="1:4" x14ac:dyDescent="0.25">
      <c r="A41" s="3" t="s">
        <v>43</v>
      </c>
      <c r="B41" s="4">
        <v>69</v>
      </c>
      <c r="C41" s="3" t="str">
        <f ca="1">IFERROR(ROWSDUMMYFUNCTION(IF(A41="","",IFERROR(IMAGE(CONCATENATE("https://us.pandora.net/on/demandware.static/-/Sites-pandora-master-catalog/default/dwbb259ca6/productimages/singlepackshot/",LEFT(A41,FIND("-",A41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41" s="5" t="str">
        <f ca="1">IFERROR(ROWSDUMMYFUNCTION(IF(A41="","",CONCATENATE("https://us.pandora.net/on/demandware.static/-/Sites-pandora-master-catalog/default/dwbb259ca6/productimages/singlepackshot/",LEFT(A41,FIND("-",A41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42" spans="1:4" x14ac:dyDescent="0.25">
      <c r="A42" s="3" t="s">
        <v>44</v>
      </c>
      <c r="B42" s="4">
        <v>69</v>
      </c>
      <c r="C42" s="3" t="str">
        <f ca="1">IFERROR(ROWSDUMMYFUNCTION(IF(A42="","",IFERROR(IMAGE(CONCATENATE("https://us.pandora.net/on/demandware.static/-/Sites-pandora-master-catalog/default/dwbb259ca6/productimages/singlepackshot/",LEFT(A42,FIND("-",A42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42" s="5" t="str">
        <f ca="1">IFERROR(ROWSDUMMYFUNCTION(IF(A42="","",CONCATENATE("https://us.pandora.net/on/demandware.static/-/Sites-pandora-master-catalog/default/dwbb259ca6/productimages/singlepackshot/",LEFT(A42,FIND("-",A42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43" spans="1:4" x14ac:dyDescent="0.25">
      <c r="A43" s="3" t="s">
        <v>45</v>
      </c>
      <c r="B43" s="4">
        <v>69</v>
      </c>
      <c r="C43" s="3" t="str">
        <f ca="1">IFERROR(ROWSDUMMYFUNCTION(IF(A43="","",IFERROR(IMAGE(CONCATENATE("https://us.pandora.net/on/demandware.static/-/Sites-pandora-master-catalog/default/dwbb259ca6/productimages/singlepackshot/",LEFT(A43,FIND("-",A43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43" s="5" t="str">
        <f ca="1">IFERROR(ROWSDUMMYFUNCTION(IF(A43="","",CONCATENATE("https://us.pandora.net/on/demandware.static/-/Sites-pandora-master-catalog/default/dwbb259ca6/productimages/singlepackshot/",LEFT(A43,FIND("-",A43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44" spans="1:4" x14ac:dyDescent="0.25">
      <c r="A44" s="3" t="s">
        <v>46</v>
      </c>
      <c r="B44" s="4">
        <v>69</v>
      </c>
      <c r="C44" s="3" t="str">
        <f ca="1">IFERROR(ROWSDUMMYFUNCTION(IF(A44="","",IFERROR(IMAGE(CONCATENATE("https://us.pandora.net/on/demandware.static/-/Sites-pandora-master-catalog/default/dwbb259ca6/productimages/singlepackshot/",LEFT(A44,FIND("-",A44&amp;"-")-1),"_RGB.png")),""))),"{""url"":""https://us.pandora.net/on/demandware.static/-/Sites-pandora-master-catalog/default/dwbb259ca6/productimages/singlepackshot/162232C01_RGB.png"",""mode"":1}")</f>
        <v>{"url":"https://us.pandora.net/on/demandware.static/-/Sites-pandora-master-catalog/default/dwbb259ca6/productimages/singlepackshot/162232C01_RGB.png","mode":1}</v>
      </c>
      <c r="D44" s="5" t="str">
        <f ca="1">IFERROR(ROWSDUMMYFUNCTION(IF(A44="","",CONCATENATE("https://us.pandora.net/on/demandware.static/-/Sites-pandora-master-catalog/default/dwbb259ca6/productimages/singlepackshot/",LEFT(A44,FIND("-",A44&amp;"-")-1),"_RGB.png"))),"https://us.pandora.net/on/demandware.static/-/Sites-pandora-master-catalog/default/dwbb259ca6/productimages/singlepackshot/162232C01_RGB.png")</f>
        <v>https://us.pandora.net/on/demandware.static/-/Sites-pandora-master-catalog/default/dwbb259ca6/productimages/singlepackshot/162232C01_RGB.png</v>
      </c>
    </row>
    <row r="45" spans="1:4" x14ac:dyDescent="0.25">
      <c r="A45" s="3" t="s">
        <v>47</v>
      </c>
      <c r="B45" s="4">
        <v>69</v>
      </c>
      <c r="C45" s="3" t="str">
        <f ca="1">IFERROR(ROWSDUMMYFUNCTION(IF(A45="","",IFERROR(IMAGE(CONCATENATE("https://us.pandora.net/on/demandware.static/-/Sites-pandora-master-catalog/default/dwbb259ca6/productimages/singlepackshot/",LEFT(A45,FIND("-",A45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45" s="5" t="str">
        <f ca="1">IFERROR(ROWSDUMMYFUNCTION(IF(A45="","",CONCATENATE("https://us.pandora.net/on/demandware.static/-/Sites-pandora-master-catalog/default/dwbb259ca6/productimages/singlepackshot/",LEFT(A45,FIND("-",A45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46" spans="1:4" x14ac:dyDescent="0.25">
      <c r="A46" s="3" t="s">
        <v>48</v>
      </c>
      <c r="B46" s="4">
        <v>69</v>
      </c>
      <c r="C46" s="3" t="str">
        <f ca="1">IFERROR(ROWSDUMMYFUNCTION(IF(A46="","",IFERROR(IMAGE(CONCATENATE("https://us.pandora.net/on/demandware.static/-/Sites-pandora-master-catalog/default/dwbb259ca6/productimages/singlepackshot/",LEFT(A46,FIND("-",A46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46" s="5" t="str">
        <f ca="1">IFERROR(ROWSDUMMYFUNCTION(IF(A46="","",CONCATENATE("https://us.pandora.net/on/demandware.static/-/Sites-pandora-master-catalog/default/dwbb259ca6/productimages/singlepackshot/",LEFT(A46,FIND("-",A46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47" spans="1:4" x14ac:dyDescent="0.25">
      <c r="A47" s="3" t="s">
        <v>49</v>
      </c>
      <c r="B47" s="4">
        <v>69</v>
      </c>
      <c r="C47" s="3" t="str">
        <f ca="1">IFERROR(ROWSDUMMYFUNCTION(IF(A47="","",IFERROR(IMAGE(CONCATENATE("https://us.pandora.net/on/demandware.static/-/Sites-pandora-master-catalog/default/dwbb259ca6/productimages/singlepackshot/",LEFT(A47,FIND("-",A47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47" s="5" t="str">
        <f ca="1">IFERROR(ROWSDUMMYFUNCTION(IF(A47="","",CONCATENATE("https://us.pandora.net/on/demandware.static/-/Sites-pandora-master-catalog/default/dwbb259ca6/productimages/singlepackshot/",LEFT(A47,FIND("-",A47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48" spans="1:4" x14ac:dyDescent="0.25">
      <c r="A48" s="3" t="s">
        <v>50</v>
      </c>
      <c r="B48" s="4">
        <v>69</v>
      </c>
      <c r="C48" s="3" t="str">
        <f ca="1">IFERROR(ROWSDUMMYFUNCTION(IF(A48="","",IFERROR(IMAGE(CONCATENATE("https://us.pandora.net/on/demandware.static/-/Sites-pandora-master-catalog/default/dwbb259ca6/productimages/singlepackshot/",LEFT(A48,FIND("-",A48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48" s="5" t="str">
        <f ca="1">IFERROR(ROWSDUMMYFUNCTION(IF(A48="","",CONCATENATE("https://us.pandora.net/on/demandware.static/-/Sites-pandora-master-catalog/default/dwbb259ca6/productimages/singlepackshot/",LEFT(A48,FIND("-",A48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49" spans="1:4" x14ac:dyDescent="0.25">
      <c r="A49" s="3" t="s">
        <v>51</v>
      </c>
      <c r="B49" s="4">
        <v>69</v>
      </c>
      <c r="C49" s="3" t="str">
        <f ca="1">IFERROR(ROWSDUMMYFUNCTION(IF(A49="","",IFERROR(IMAGE(CONCATENATE("https://us.pandora.net/on/demandware.static/-/Sites-pandora-master-catalog/default/dwbb259ca6/productimages/singlepackshot/",LEFT(A49,FIND("-",A49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49" s="5" t="str">
        <f ca="1">IFERROR(ROWSDUMMYFUNCTION(IF(A49="","",CONCATENATE("https://us.pandora.net/on/demandware.static/-/Sites-pandora-master-catalog/default/dwbb259ca6/productimages/singlepackshot/",LEFT(A49,FIND("-",A49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50" spans="1:4" x14ac:dyDescent="0.25">
      <c r="A50" s="3" t="s">
        <v>52</v>
      </c>
      <c r="B50" s="4">
        <v>69</v>
      </c>
      <c r="C50" s="3" t="str">
        <f ca="1">IFERROR(ROWSDUMMYFUNCTION(IF(A50="","",IFERROR(IMAGE(CONCATENATE("https://us.pandora.net/on/demandware.static/-/Sites-pandora-master-catalog/default/dwbb259ca6/productimages/singlepackshot/",LEFT(A50,FIND("-",A50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50" s="5" t="str">
        <f ca="1">IFERROR(ROWSDUMMYFUNCTION(IF(A50="","",CONCATENATE("https://us.pandora.net/on/demandware.static/-/Sites-pandora-master-catalog/default/dwbb259ca6/productimages/singlepackshot/",LEFT(A50,FIND("-",A50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51" spans="1:4" x14ac:dyDescent="0.25">
      <c r="A51" s="3" t="s">
        <v>53</v>
      </c>
      <c r="B51" s="4">
        <v>69</v>
      </c>
      <c r="C51" s="3" t="str">
        <f ca="1">IFERROR(ROWSDUMMYFUNCTION(IF(A51="","",IFERROR(IMAGE(CONCATENATE("https://us.pandora.net/on/demandware.static/-/Sites-pandora-master-catalog/default/dwbb259ca6/productimages/singlepackshot/",LEFT(A51,FIND("-",A51&amp;"-")-1),"_RGB.png")),""))),"{""url"":""https://us.pandora.net/on/demandware.static/-/Sites-pandora-master-catalog/default/dwbb259ca6/productimages/singlepackshot/162333C01_RGB.png"",""mode"":1}")</f>
        <v>{"url":"https://us.pandora.net/on/demandware.static/-/Sites-pandora-master-catalog/default/dwbb259ca6/productimages/singlepackshot/162333C01_RGB.png","mode":1}</v>
      </c>
      <c r="D51" s="5" t="str">
        <f ca="1">IFERROR(ROWSDUMMYFUNCTION(IF(A51="","",CONCATENATE("https://us.pandora.net/on/demandware.static/-/Sites-pandora-master-catalog/default/dwbb259ca6/productimages/singlepackshot/",LEFT(A51,FIND("-",A51&amp;"-")-1),"_RGB.png"))),"https://us.pandora.net/on/demandware.static/-/Sites-pandora-master-catalog/default/dwbb259ca6/productimages/singlepackshot/162333C01_RGB.png")</f>
        <v>https://us.pandora.net/on/demandware.static/-/Sites-pandora-master-catalog/default/dwbb259ca6/productimages/singlepackshot/162333C01_RGB.png</v>
      </c>
    </row>
    <row r="52" spans="1:4" x14ac:dyDescent="0.25">
      <c r="A52" s="3" t="s">
        <v>54</v>
      </c>
      <c r="B52" s="4">
        <v>89</v>
      </c>
      <c r="C52" s="3" t="str">
        <f ca="1">IFERROR(ROWSDUMMYFUNCTION(IF(A52="","",IFERROR(IMAGE(CONCATENATE("https://us.pandora.net/on/demandware.static/-/Sites-pandora-master-catalog/default/dwbb259ca6/productimages/singlepackshot/",LEFT(A52,FIND("-",A52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2" s="5" t="str">
        <f ca="1">IFERROR(ROWSDUMMYFUNCTION(IF(A52="","",CONCATENATE("https://us.pandora.net/on/demandware.static/-/Sites-pandora-master-catalog/default/dwbb259ca6/productimages/singlepackshot/",LEFT(A52,FIND("-",A52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3" spans="1:4" x14ac:dyDescent="0.25">
      <c r="A53" s="3" t="s">
        <v>55</v>
      </c>
      <c r="B53" s="4">
        <v>89</v>
      </c>
      <c r="C53" s="3" t="str">
        <f ca="1">IFERROR(ROWSDUMMYFUNCTION(IF(A53="","",IFERROR(IMAGE(CONCATENATE("https://us.pandora.net/on/demandware.static/-/Sites-pandora-master-catalog/default/dwbb259ca6/productimages/singlepackshot/",LEFT(A53,FIND("-",A53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3" s="5" t="str">
        <f ca="1">IFERROR(ROWSDUMMYFUNCTION(IF(A53="","",CONCATENATE("https://us.pandora.net/on/demandware.static/-/Sites-pandora-master-catalog/default/dwbb259ca6/productimages/singlepackshot/",LEFT(A53,FIND("-",A53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4" spans="1:4" x14ac:dyDescent="0.25">
      <c r="A54" s="3" t="s">
        <v>56</v>
      </c>
      <c r="B54" s="4">
        <v>89</v>
      </c>
      <c r="C54" s="3" t="str">
        <f ca="1">IFERROR(ROWSDUMMYFUNCTION(IF(A54="","",IFERROR(IMAGE(CONCATENATE("https://us.pandora.net/on/demandware.static/-/Sites-pandora-master-catalog/default/dwbb259ca6/productimages/singlepackshot/",LEFT(A54,FIND("-",A54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4" s="5" t="str">
        <f ca="1">IFERROR(ROWSDUMMYFUNCTION(IF(A54="","",CONCATENATE("https://us.pandora.net/on/demandware.static/-/Sites-pandora-master-catalog/default/dwbb259ca6/productimages/singlepackshot/",LEFT(A54,FIND("-",A54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5" spans="1:4" x14ac:dyDescent="0.25">
      <c r="A55" s="3" t="s">
        <v>57</v>
      </c>
      <c r="B55" s="4">
        <v>89</v>
      </c>
      <c r="C55" s="3" t="str">
        <f ca="1">IFERROR(ROWSDUMMYFUNCTION(IF(A55="","",IFERROR(IMAGE(CONCATENATE("https://us.pandora.net/on/demandware.static/-/Sites-pandora-master-catalog/default/dwbb259ca6/productimages/singlepackshot/",LEFT(A55,FIND("-",A55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5" s="5" t="str">
        <f ca="1">IFERROR(ROWSDUMMYFUNCTION(IF(A55="","",CONCATENATE("https://us.pandora.net/on/demandware.static/-/Sites-pandora-master-catalog/default/dwbb259ca6/productimages/singlepackshot/",LEFT(A55,FIND("-",A55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6" spans="1:4" x14ac:dyDescent="0.25">
      <c r="A56" s="3" t="s">
        <v>58</v>
      </c>
      <c r="B56" s="4">
        <v>89</v>
      </c>
      <c r="C56" s="3" t="str">
        <f ca="1">IFERROR(ROWSDUMMYFUNCTION(IF(A56="","",IFERROR(IMAGE(CONCATENATE("https://us.pandora.net/on/demandware.static/-/Sites-pandora-master-catalog/default/dwbb259ca6/productimages/singlepackshot/",LEFT(A56,FIND("-",A56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6" s="5" t="str">
        <f ca="1">IFERROR(ROWSDUMMYFUNCTION(IF(A56="","",CONCATENATE("https://us.pandora.net/on/demandware.static/-/Sites-pandora-master-catalog/default/dwbb259ca6/productimages/singlepackshot/",LEFT(A56,FIND("-",A56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7" spans="1:4" x14ac:dyDescent="0.25">
      <c r="A57" s="3" t="s">
        <v>59</v>
      </c>
      <c r="B57" s="4">
        <v>89</v>
      </c>
      <c r="C57" s="3" t="str">
        <f ca="1">IFERROR(ROWSDUMMYFUNCTION(IF(A57="","",IFERROR(IMAGE(CONCATENATE("https://us.pandora.net/on/demandware.static/-/Sites-pandora-master-catalog/default/dwbb259ca6/productimages/singlepackshot/",LEFT(A57,FIND("-",A57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7" s="5" t="str">
        <f ca="1">IFERROR(ROWSDUMMYFUNCTION(IF(A57="","",CONCATENATE("https://us.pandora.net/on/demandware.static/-/Sites-pandora-master-catalog/default/dwbb259ca6/productimages/singlepackshot/",LEFT(A57,FIND("-",A57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8" spans="1:4" x14ac:dyDescent="0.25">
      <c r="A58" s="3" t="s">
        <v>60</v>
      </c>
      <c r="B58" s="4">
        <v>89</v>
      </c>
      <c r="C58" s="3" t="str">
        <f ca="1">IFERROR(ROWSDUMMYFUNCTION(IF(A58="","",IFERROR(IMAGE(CONCATENATE("https://us.pandora.net/on/demandware.static/-/Sites-pandora-master-catalog/default/dwbb259ca6/productimages/singlepackshot/",LEFT(A58,FIND("-",A58&amp;"-")-1),"_RGB.png")),""))),"{""url"":""https://us.pandora.net/on/demandware.static/-/Sites-pandora-master-catalog/default/dwbb259ca6/productimages/singlepackshot/162344C01_RGB.png"",""mode"":1}")</f>
        <v>{"url":"https://us.pandora.net/on/demandware.static/-/Sites-pandora-master-catalog/default/dwbb259ca6/productimages/singlepackshot/162344C01_RGB.png","mode":1}</v>
      </c>
      <c r="D58" s="5" t="str">
        <f ca="1">IFERROR(ROWSDUMMYFUNCTION(IF(A58="","",CONCATENATE("https://us.pandora.net/on/demandware.static/-/Sites-pandora-master-catalog/default/dwbb259ca6/productimages/singlepackshot/",LEFT(A58,FIND("-",A58&amp;"-")-1),"_RGB.png"))),"https://us.pandora.net/on/demandware.static/-/Sites-pandora-master-catalog/default/dwbb259ca6/productimages/singlepackshot/162344C01_RGB.png")</f>
        <v>https://us.pandora.net/on/demandware.static/-/Sites-pandora-master-catalog/default/dwbb259ca6/productimages/singlepackshot/162344C01_RGB.png</v>
      </c>
    </row>
    <row r="59" spans="1:4" x14ac:dyDescent="0.25">
      <c r="A59" s="3" t="s">
        <v>61</v>
      </c>
      <c r="B59" s="4">
        <v>89</v>
      </c>
      <c r="C59" s="3" t="str">
        <f ca="1">IFERROR(ROWSDUMMYFUNCTION(IF(A59="","",IFERROR(IMAGE(CONCATENATE("https://us.pandora.net/on/demandware.static/-/Sites-pandora-master-catalog/default/dwbb259ca6/productimages/singlepackshot/",LEFT(A59,FIND("-",A59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59" s="5" t="str">
        <f ca="1">IFERROR(ROWSDUMMYFUNCTION(IF(A59="","",CONCATENATE("https://us.pandora.net/on/demandware.static/-/Sites-pandora-master-catalog/default/dwbb259ca6/productimages/singlepackshot/",LEFT(A59,FIND("-",A59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0" spans="1:4" x14ac:dyDescent="0.25">
      <c r="A60" s="3" t="s">
        <v>62</v>
      </c>
      <c r="B60" s="4">
        <v>89</v>
      </c>
      <c r="C60" s="3" t="str">
        <f ca="1">IFERROR(ROWSDUMMYFUNCTION(IF(A60="","",IFERROR(IMAGE(CONCATENATE("https://us.pandora.net/on/demandware.static/-/Sites-pandora-master-catalog/default/dwbb259ca6/productimages/singlepackshot/",LEFT(A60,FIND("-",A60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60" s="5" t="str">
        <f ca="1">IFERROR(ROWSDUMMYFUNCTION(IF(A60="","",CONCATENATE("https://us.pandora.net/on/demandware.static/-/Sites-pandora-master-catalog/default/dwbb259ca6/productimages/singlepackshot/",LEFT(A60,FIND("-",A60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1" spans="1:4" x14ac:dyDescent="0.25">
      <c r="A61" s="3" t="s">
        <v>63</v>
      </c>
      <c r="B61" s="4">
        <v>89</v>
      </c>
      <c r="C61" s="3" t="str">
        <f ca="1">IFERROR(ROWSDUMMYFUNCTION(IF(A61="","",IFERROR(IMAGE(CONCATENATE("https://us.pandora.net/on/demandware.static/-/Sites-pandora-master-catalog/default/dwbb259ca6/productimages/singlepackshot/",LEFT(A61,FIND("-",A61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61" s="5" t="str">
        <f ca="1">IFERROR(ROWSDUMMYFUNCTION(IF(A61="","",CONCATENATE("https://us.pandora.net/on/demandware.static/-/Sites-pandora-master-catalog/default/dwbb259ca6/productimages/singlepackshot/",LEFT(A61,FIND("-",A61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2" spans="1:4" x14ac:dyDescent="0.25">
      <c r="A62" s="3" t="s">
        <v>64</v>
      </c>
      <c r="B62" s="4">
        <v>89</v>
      </c>
      <c r="C62" s="3" t="str">
        <f ca="1">IFERROR(ROWSDUMMYFUNCTION(IF(A62="","",IFERROR(IMAGE(CONCATENATE("https://us.pandora.net/on/demandware.static/-/Sites-pandora-master-catalog/default/dwbb259ca6/productimages/singlepackshot/",LEFT(A62,FIND("-",A62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62" s="5" t="str">
        <f ca="1">IFERROR(ROWSDUMMYFUNCTION(IF(A62="","",CONCATENATE("https://us.pandora.net/on/demandware.static/-/Sites-pandora-master-catalog/default/dwbb259ca6/productimages/singlepackshot/",LEFT(A62,FIND("-",A62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3" spans="1:4" x14ac:dyDescent="0.25">
      <c r="A63" s="3" t="s">
        <v>65</v>
      </c>
      <c r="B63" s="4">
        <v>89</v>
      </c>
      <c r="C63" s="3" t="str">
        <f ca="1">IFERROR(ROWSDUMMYFUNCTION(IF(A63="","",IFERROR(IMAGE(CONCATENATE("https://us.pandora.net/on/demandware.static/-/Sites-pandora-master-catalog/default/dwbb259ca6/productimages/singlepackshot/",LEFT(A63,FIND("-",A63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63" s="5" t="str">
        <f ca="1">IFERROR(ROWSDUMMYFUNCTION(IF(A63="","",CONCATENATE("https://us.pandora.net/on/demandware.static/-/Sites-pandora-master-catalog/default/dwbb259ca6/productimages/singlepackshot/",LEFT(A63,FIND("-",A63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4" spans="1:4" x14ac:dyDescent="0.25">
      <c r="A64" s="3" t="s">
        <v>66</v>
      </c>
      <c r="B64" s="4">
        <v>89</v>
      </c>
      <c r="C64" s="3" t="str">
        <f ca="1">IFERROR(ROWSDUMMYFUNCTION(IF(A64="","",IFERROR(IMAGE(CONCATENATE("https://us.pandora.net/on/demandware.static/-/Sites-pandora-master-catalog/default/dwbb259ca6/productimages/singlepackshot/",LEFT(A64,FIND("-",A64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64" s="5" t="str">
        <f ca="1">IFERROR(ROWSDUMMYFUNCTION(IF(A64="","",CONCATENATE("https://us.pandora.net/on/demandware.static/-/Sites-pandora-master-catalog/default/dwbb259ca6/productimages/singlepackshot/",LEFT(A64,FIND("-",A64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5" spans="1:4" x14ac:dyDescent="0.25">
      <c r="A65" s="3" t="s">
        <v>67</v>
      </c>
      <c r="B65" s="4">
        <v>89</v>
      </c>
      <c r="C65" s="3" t="str">
        <f ca="1">IFERROR(ROWSDUMMYFUNCTION(IF(A65="","",IFERROR(IMAGE(CONCATENATE("https://us.pandora.net/on/demandware.static/-/Sites-pandora-master-catalog/default/dwbb259ca6/productimages/singlepackshot/",LEFT(A65,FIND("-",A65&amp;"-")-1),"_RGB.png")),""))),"{""url"":""https://us.pandora.net/on/demandware.static/-/Sites-pandora-master-catalog/default/dwbb259ca6/productimages/singlepackshot/162392C01_RGB.png"",""mode"":1}")</f>
        <v>{"url":"https://us.pandora.net/on/demandware.static/-/Sites-pandora-master-catalog/default/dwbb259ca6/productimages/singlepackshot/162392C01_RGB.png","mode":1}</v>
      </c>
      <c r="D65" s="5" t="str">
        <f ca="1">IFERROR(ROWSDUMMYFUNCTION(IF(A65="","",CONCATENATE("https://us.pandora.net/on/demandware.static/-/Sites-pandora-master-catalog/default/dwbb259ca6/productimages/singlepackshot/",LEFT(A65,FIND("-",A65&amp;"-")-1),"_RGB.png"))),"https://us.pandora.net/on/demandware.static/-/Sites-pandora-master-catalog/default/dwbb259ca6/productimages/singlepackshot/162392C01_RGB.png")</f>
        <v>https://us.pandora.net/on/demandware.static/-/Sites-pandora-master-catalog/default/dwbb259ca6/productimages/singlepackshot/162392C01_RGB.png</v>
      </c>
    </row>
    <row r="66" spans="1:4" x14ac:dyDescent="0.25">
      <c r="A66" s="3" t="s">
        <v>68</v>
      </c>
      <c r="B66" s="4">
        <v>59</v>
      </c>
      <c r="C66" s="3" t="str">
        <f ca="1">IFERROR(ROWSDUMMYFUNCTION(IF(A66="","",IFERROR(IMAGE(CONCATENATE("https://us.pandora.net/on/demandware.static/-/Sites-pandora-master-catalog/default/dwbb259ca6/productimages/singlepackshot/",LEFT(A66,FIND("-",A66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66" s="5" t="str">
        <f ca="1">IFERROR(ROWSDUMMYFUNCTION(IF(A66="","",CONCATENATE("https://us.pandora.net/on/demandware.static/-/Sites-pandora-master-catalog/default/dwbb259ca6/productimages/singlepackshot/",LEFT(A66,FIND("-",A66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67" spans="1:4" x14ac:dyDescent="0.25">
      <c r="A67" s="3" t="s">
        <v>69</v>
      </c>
      <c r="B67" s="4">
        <v>59</v>
      </c>
      <c r="C67" s="3" t="str">
        <f ca="1">IFERROR(ROWSDUMMYFUNCTION(IF(A67="","",IFERROR(IMAGE(CONCATENATE("https://us.pandora.net/on/demandware.static/-/Sites-pandora-master-catalog/default/dwbb259ca6/productimages/singlepackshot/",LEFT(A67,FIND("-",A67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67" s="5" t="str">
        <f ca="1">IFERROR(ROWSDUMMYFUNCTION(IF(A67="","",CONCATENATE("https://us.pandora.net/on/demandware.static/-/Sites-pandora-master-catalog/default/dwbb259ca6/productimages/singlepackshot/",LEFT(A67,FIND("-",A67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68" spans="1:4" x14ac:dyDescent="0.25">
      <c r="A68" s="3" t="s">
        <v>70</v>
      </c>
      <c r="B68" s="4">
        <v>59</v>
      </c>
      <c r="C68" s="3" t="str">
        <f ca="1">IFERROR(ROWSDUMMYFUNCTION(IF(A68="","",IFERROR(IMAGE(CONCATENATE("https://us.pandora.net/on/demandware.static/-/Sites-pandora-master-catalog/default/dwbb259ca6/productimages/singlepackshot/",LEFT(A68,FIND("-",A68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68" s="5" t="str">
        <f ca="1">IFERROR(ROWSDUMMYFUNCTION(IF(A68="","",CONCATENATE("https://us.pandora.net/on/demandware.static/-/Sites-pandora-master-catalog/default/dwbb259ca6/productimages/singlepackshot/",LEFT(A68,FIND("-",A68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69" spans="1:4" x14ac:dyDescent="0.25">
      <c r="A69" s="3" t="s">
        <v>71</v>
      </c>
      <c r="B69" s="4">
        <v>59</v>
      </c>
      <c r="C69" s="3" t="str">
        <f ca="1">IFERROR(ROWSDUMMYFUNCTION(IF(A69="","",IFERROR(IMAGE(CONCATENATE("https://us.pandora.net/on/demandware.static/-/Sites-pandora-master-catalog/default/dwbb259ca6/productimages/singlepackshot/",LEFT(A69,FIND("-",A69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69" s="5" t="str">
        <f ca="1">IFERROR(ROWSDUMMYFUNCTION(IF(A69="","",CONCATENATE("https://us.pandora.net/on/demandware.static/-/Sites-pandora-master-catalog/default/dwbb259ca6/productimages/singlepackshot/",LEFT(A69,FIND("-",A69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70" spans="1:4" x14ac:dyDescent="0.25">
      <c r="A70" s="3" t="s">
        <v>72</v>
      </c>
      <c r="B70" s="4">
        <v>59</v>
      </c>
      <c r="C70" s="3" t="str">
        <f ca="1">IFERROR(ROWSDUMMYFUNCTION(IF(A70="","",IFERROR(IMAGE(CONCATENATE("https://us.pandora.net/on/demandware.static/-/Sites-pandora-master-catalog/default/dwbb259ca6/productimages/singlepackshot/",LEFT(A70,FIND("-",A70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70" s="5" t="str">
        <f ca="1">IFERROR(ROWSDUMMYFUNCTION(IF(A70="","",CONCATENATE("https://us.pandora.net/on/demandware.static/-/Sites-pandora-master-catalog/default/dwbb259ca6/productimages/singlepackshot/",LEFT(A70,FIND("-",A70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71" spans="1:4" x14ac:dyDescent="0.25">
      <c r="A71" s="3" t="s">
        <v>73</v>
      </c>
      <c r="B71" s="4">
        <v>59</v>
      </c>
      <c r="C71" s="3" t="str">
        <f ca="1">IFERROR(ROWSDUMMYFUNCTION(IF(A71="","",IFERROR(IMAGE(CONCATENATE("https://us.pandora.net/on/demandware.static/-/Sites-pandora-master-catalog/default/dwbb259ca6/productimages/singlepackshot/",LEFT(A71,FIND("-",A71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71" s="5" t="str">
        <f ca="1">IFERROR(ROWSDUMMYFUNCTION(IF(A71="","",CONCATENATE("https://us.pandora.net/on/demandware.static/-/Sites-pandora-master-catalog/default/dwbb259ca6/productimages/singlepackshot/",LEFT(A71,FIND("-",A71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72" spans="1:4" x14ac:dyDescent="0.25">
      <c r="A72" s="3" t="s">
        <v>74</v>
      </c>
      <c r="B72" s="4">
        <v>59</v>
      </c>
      <c r="C72" s="3" t="str">
        <f ca="1">IFERROR(ROWSDUMMYFUNCTION(IF(A72="","",IFERROR(IMAGE(CONCATENATE("https://us.pandora.net/on/demandware.static/-/Sites-pandora-master-catalog/default/dwbb259ca6/productimages/singlepackshot/",LEFT(A72,FIND("-",A72&amp;"-")-1),"_RGB.png")),""))),"{""url"":""https://us.pandora.net/on/demandware.static/-/Sites-pandora-master-catalog/default/dwbb259ca6/productimages/singlepackshot/162539C01_RGB.png"",""mode"":1}")</f>
        <v>{"url":"https://us.pandora.net/on/demandware.static/-/Sites-pandora-master-catalog/default/dwbb259ca6/productimages/singlepackshot/162539C01_RGB.png","mode":1}</v>
      </c>
      <c r="D72" s="5" t="str">
        <f ca="1">IFERROR(ROWSDUMMYFUNCTION(IF(A72="","",CONCATENATE("https://us.pandora.net/on/demandware.static/-/Sites-pandora-master-catalog/default/dwbb259ca6/productimages/singlepackshot/",LEFT(A72,FIND("-",A72&amp;"-")-1),"_RGB.png"))),"https://us.pandora.net/on/demandware.static/-/Sites-pandora-master-catalog/default/dwbb259ca6/productimages/singlepackshot/162539C01_RGB.png")</f>
        <v>https://us.pandora.net/on/demandware.static/-/Sites-pandora-master-catalog/default/dwbb259ca6/productimages/singlepackshot/162539C01_RGB.png</v>
      </c>
    </row>
    <row r="73" spans="1:4" x14ac:dyDescent="0.25">
      <c r="A73" s="3" t="s">
        <v>75</v>
      </c>
      <c r="B73" s="4">
        <v>109</v>
      </c>
      <c r="C73" s="3" t="str">
        <f ca="1">IFERROR(ROWSDUMMYFUNCTION(IF(A73="","",IFERROR(IMAGE(CONCATENATE("https://us.pandora.net/on/demandware.static/-/Sites-pandora-master-catalog/default/dwbb259ca6/productimages/singlepackshot/",LEFT(A73,FIND("-",A73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3" s="5" t="str">
        <f ca="1">IFERROR(ROWSDUMMYFUNCTION(IF(A73="","",CONCATENATE("https://us.pandora.net/on/demandware.static/-/Sites-pandora-master-catalog/default/dwbb259ca6/productimages/singlepackshot/",LEFT(A73,FIND("-",A73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74" spans="1:4" x14ac:dyDescent="0.25">
      <c r="A74" s="3" t="s">
        <v>76</v>
      </c>
      <c r="B74" s="4">
        <v>109</v>
      </c>
      <c r="C74" s="3" t="str">
        <f ca="1">IFERROR(ROWSDUMMYFUNCTION(IF(A74="","",IFERROR(IMAGE(CONCATENATE("https://us.pandora.net/on/demandware.static/-/Sites-pandora-master-catalog/default/dwbb259ca6/productimages/singlepackshot/",LEFT(A74,FIND("-",A74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4" s="5" t="str">
        <f ca="1">IFERROR(ROWSDUMMYFUNCTION(IF(A74="","",CONCATENATE("https://us.pandora.net/on/demandware.static/-/Sites-pandora-master-catalog/default/dwbb259ca6/productimages/singlepackshot/",LEFT(A74,FIND("-",A74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75" spans="1:4" x14ac:dyDescent="0.25">
      <c r="A75" s="3" t="s">
        <v>77</v>
      </c>
      <c r="B75" s="4">
        <v>109</v>
      </c>
      <c r="C75" s="3" t="str">
        <f ca="1">IFERROR(ROWSDUMMYFUNCTION(IF(A75="","",IFERROR(IMAGE(CONCATENATE("https://us.pandora.net/on/demandware.static/-/Sites-pandora-master-catalog/default/dwbb259ca6/productimages/singlepackshot/",LEFT(A75,FIND("-",A75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5" s="5" t="str">
        <f ca="1">IFERROR(ROWSDUMMYFUNCTION(IF(A75="","",CONCATENATE("https://us.pandora.net/on/demandware.static/-/Sites-pandora-master-catalog/default/dwbb259ca6/productimages/singlepackshot/",LEFT(A75,FIND("-",A75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76" spans="1:4" x14ac:dyDescent="0.25">
      <c r="A76" s="3" t="s">
        <v>78</v>
      </c>
      <c r="B76" s="4">
        <v>109</v>
      </c>
      <c r="C76" s="3" t="str">
        <f ca="1">IFERROR(ROWSDUMMYFUNCTION(IF(A76="","",IFERROR(IMAGE(CONCATENATE("https://us.pandora.net/on/demandware.static/-/Sites-pandora-master-catalog/default/dwbb259ca6/productimages/singlepackshot/",LEFT(A76,FIND("-",A76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6" s="5" t="str">
        <f ca="1">IFERROR(ROWSDUMMYFUNCTION(IF(A76="","",CONCATENATE("https://us.pandora.net/on/demandware.static/-/Sites-pandora-master-catalog/default/dwbb259ca6/productimages/singlepackshot/",LEFT(A76,FIND("-",A76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77" spans="1:4" x14ac:dyDescent="0.25">
      <c r="A77" s="3" t="s">
        <v>79</v>
      </c>
      <c r="B77" s="4">
        <v>109</v>
      </c>
      <c r="C77" s="3" t="str">
        <f ca="1">IFERROR(ROWSDUMMYFUNCTION(IF(A77="","",IFERROR(IMAGE(CONCATENATE("https://us.pandora.net/on/demandware.static/-/Sites-pandora-master-catalog/default/dwbb259ca6/productimages/singlepackshot/",LEFT(A77,FIND("-",A77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7" s="5" t="str">
        <f ca="1">IFERROR(ROWSDUMMYFUNCTION(IF(A77="","",CONCATENATE("https://us.pandora.net/on/demandware.static/-/Sites-pandora-master-catalog/default/dwbb259ca6/productimages/singlepackshot/",LEFT(A77,FIND("-",A77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78" spans="1:4" x14ac:dyDescent="0.25">
      <c r="A78" s="3" t="s">
        <v>80</v>
      </c>
      <c r="B78" s="4">
        <v>109</v>
      </c>
      <c r="C78" s="3" t="str">
        <f ca="1">IFERROR(ROWSDUMMYFUNCTION(IF(A78="","",IFERROR(IMAGE(CONCATENATE("https://us.pandora.net/on/demandware.static/-/Sites-pandora-master-catalog/default/dwbb259ca6/productimages/singlepackshot/",LEFT(A78,FIND("-",A78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8" s="5" t="str">
        <f ca="1">IFERROR(ROWSDUMMYFUNCTION(IF(A78="","",CONCATENATE("https://us.pandora.net/on/demandware.static/-/Sites-pandora-master-catalog/default/dwbb259ca6/productimages/singlepackshot/",LEFT(A78,FIND("-",A78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79" spans="1:4" x14ac:dyDescent="0.25">
      <c r="A79" s="3" t="s">
        <v>81</v>
      </c>
      <c r="B79" s="4">
        <v>109</v>
      </c>
      <c r="C79" s="3" t="str">
        <f ca="1">IFERROR(ROWSDUMMYFUNCTION(IF(A79="","",IFERROR(IMAGE(CONCATENATE("https://us.pandora.net/on/demandware.static/-/Sites-pandora-master-catalog/default/dwbb259ca6/productimages/singlepackshot/",LEFT(A79,FIND("-",A79&amp;"-")-1),"_RGB.png")),""))),"{""url"":""https://us.pandora.net/on/demandware.static/-/Sites-pandora-master-catalog/default/dwbb259ca6/productimages/singlepackshot/162627C01_RGB.png"",""mode"":1}")</f>
        <v>{"url":"https://us.pandora.net/on/demandware.static/-/Sites-pandora-master-catalog/default/dwbb259ca6/productimages/singlepackshot/162627C01_RGB.png","mode":1}</v>
      </c>
      <c r="D79" s="5" t="str">
        <f ca="1">IFERROR(ROWSDUMMYFUNCTION(IF(A79="","",CONCATENATE("https://us.pandora.net/on/demandware.static/-/Sites-pandora-master-catalog/default/dwbb259ca6/productimages/singlepackshot/",LEFT(A79,FIND("-",A79&amp;"-")-1),"_RGB.png"))),"https://us.pandora.net/on/demandware.static/-/Sites-pandora-master-catalog/default/dwbb259ca6/productimages/singlepackshot/162627C01_RGB.png")</f>
        <v>https://us.pandora.net/on/demandware.static/-/Sites-pandora-master-catalog/default/dwbb259ca6/productimages/singlepackshot/162627C01_RGB.png</v>
      </c>
    </row>
    <row r="80" spans="1:4" x14ac:dyDescent="0.25">
      <c r="A80" s="3" t="s">
        <v>82</v>
      </c>
      <c r="B80" s="4">
        <v>159</v>
      </c>
      <c r="C80" s="3" t="str">
        <f ca="1">IFERROR(ROWSDUMMYFUNCTION(IF(A80="","",IFERROR(IMAGE(CONCATENATE("https://us.pandora.net/on/demandware.static/-/Sites-pandora-master-catalog/default/dwbb259ca6/productimages/singlepackshot/",LEFT(A80,FIND("-",A80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0" s="5" t="str">
        <f ca="1">IFERROR(ROWSDUMMYFUNCTION(IF(A80="","",CONCATENATE("https://us.pandora.net/on/demandware.static/-/Sites-pandora-master-catalog/default/dwbb259ca6/productimages/singlepackshot/",LEFT(A80,FIND("-",A80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1" spans="1:4" x14ac:dyDescent="0.25">
      <c r="A81" s="3" t="s">
        <v>83</v>
      </c>
      <c r="B81" s="4">
        <v>159</v>
      </c>
      <c r="C81" s="3" t="str">
        <f ca="1">IFERROR(ROWSDUMMYFUNCTION(IF(A81="","",IFERROR(IMAGE(CONCATENATE("https://us.pandora.net/on/demandware.static/-/Sites-pandora-master-catalog/default/dwbb259ca6/productimages/singlepackshot/",LEFT(A81,FIND("-",A81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1" s="5" t="str">
        <f ca="1">IFERROR(ROWSDUMMYFUNCTION(IF(A81="","",CONCATENATE("https://us.pandora.net/on/demandware.static/-/Sites-pandora-master-catalog/default/dwbb259ca6/productimages/singlepackshot/",LEFT(A81,FIND("-",A81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2" spans="1:4" x14ac:dyDescent="0.25">
      <c r="A82" s="3" t="s">
        <v>84</v>
      </c>
      <c r="B82" s="4">
        <v>159</v>
      </c>
      <c r="C82" s="3" t="str">
        <f ca="1">IFERROR(ROWSDUMMYFUNCTION(IF(A82="","",IFERROR(IMAGE(CONCATENATE("https://us.pandora.net/on/demandware.static/-/Sites-pandora-master-catalog/default/dwbb259ca6/productimages/singlepackshot/",LEFT(A82,FIND("-",A82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2" s="5" t="str">
        <f ca="1">IFERROR(ROWSDUMMYFUNCTION(IF(A82="","",CONCATENATE("https://us.pandora.net/on/demandware.static/-/Sites-pandora-master-catalog/default/dwbb259ca6/productimages/singlepackshot/",LEFT(A82,FIND("-",A82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3" spans="1:4" x14ac:dyDescent="0.25">
      <c r="A83" s="3" t="s">
        <v>85</v>
      </c>
      <c r="B83" s="4">
        <v>159</v>
      </c>
      <c r="C83" s="3" t="str">
        <f ca="1">IFERROR(ROWSDUMMYFUNCTION(IF(A83="","",IFERROR(IMAGE(CONCATENATE("https://us.pandora.net/on/demandware.static/-/Sites-pandora-master-catalog/default/dwbb259ca6/productimages/singlepackshot/",LEFT(A83,FIND("-",A83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3" s="5" t="str">
        <f ca="1">IFERROR(ROWSDUMMYFUNCTION(IF(A83="","",CONCATENATE("https://us.pandora.net/on/demandware.static/-/Sites-pandora-master-catalog/default/dwbb259ca6/productimages/singlepackshot/",LEFT(A83,FIND("-",A83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4" spans="1:4" x14ac:dyDescent="0.25">
      <c r="A84" s="3" t="s">
        <v>86</v>
      </c>
      <c r="B84" s="4">
        <v>159</v>
      </c>
      <c r="C84" s="3" t="str">
        <f ca="1">IFERROR(ROWSDUMMYFUNCTION(IF(A84="","",IFERROR(IMAGE(CONCATENATE("https://us.pandora.net/on/demandware.static/-/Sites-pandora-master-catalog/default/dwbb259ca6/productimages/singlepackshot/",LEFT(A84,FIND("-",A84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4" s="5" t="str">
        <f ca="1">IFERROR(ROWSDUMMYFUNCTION(IF(A84="","",CONCATENATE("https://us.pandora.net/on/demandware.static/-/Sites-pandora-master-catalog/default/dwbb259ca6/productimages/singlepackshot/",LEFT(A84,FIND("-",A84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5" spans="1:4" x14ac:dyDescent="0.25">
      <c r="A85" s="3" t="s">
        <v>87</v>
      </c>
      <c r="B85" s="4">
        <v>159</v>
      </c>
      <c r="C85" s="3" t="str">
        <f ca="1">IFERROR(ROWSDUMMYFUNCTION(IF(A85="","",IFERROR(IMAGE(CONCATENATE("https://us.pandora.net/on/demandware.static/-/Sites-pandora-master-catalog/default/dwbb259ca6/productimages/singlepackshot/",LEFT(A85,FIND("-",A85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5" s="5" t="str">
        <f ca="1">IFERROR(ROWSDUMMYFUNCTION(IF(A85="","",CONCATENATE("https://us.pandora.net/on/demandware.static/-/Sites-pandora-master-catalog/default/dwbb259ca6/productimages/singlepackshot/",LEFT(A85,FIND("-",A85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6" spans="1:4" x14ac:dyDescent="0.25">
      <c r="A86" s="3" t="s">
        <v>88</v>
      </c>
      <c r="B86" s="4">
        <v>159</v>
      </c>
      <c r="C86" s="3" t="str">
        <f ca="1">IFERROR(ROWSDUMMYFUNCTION(IF(A86="","",IFERROR(IMAGE(CONCATENATE("https://us.pandora.net/on/demandware.static/-/Sites-pandora-master-catalog/default/dwbb259ca6/productimages/singlepackshot/",LEFT(A86,FIND("-",A86&amp;"-")-1),"_RGB.png")),""))),"{""url"":""https://us.pandora.net/on/demandware.static/-/Sites-pandora-master-catalog/default/dwbb259ca6/productimages/singlepackshot/162634C01_RGB.png"",""mode"":1}")</f>
        <v>{"url":"https://us.pandora.net/on/demandware.static/-/Sites-pandora-master-catalog/default/dwbb259ca6/productimages/singlepackshot/162634C01_RGB.png","mode":1}</v>
      </c>
      <c r="D86" s="5" t="str">
        <f ca="1">IFERROR(ROWSDUMMYFUNCTION(IF(A86="","",CONCATENATE("https://us.pandora.net/on/demandware.static/-/Sites-pandora-master-catalog/default/dwbb259ca6/productimages/singlepackshot/",LEFT(A86,FIND("-",A86&amp;"-")-1),"_RGB.png"))),"https://us.pandora.net/on/demandware.static/-/Sites-pandora-master-catalog/default/dwbb259ca6/productimages/singlepackshot/162634C01_RGB.png")</f>
        <v>https://us.pandora.net/on/demandware.static/-/Sites-pandora-master-catalog/default/dwbb259ca6/productimages/singlepackshot/162634C01_RGB.png</v>
      </c>
    </row>
    <row r="87" spans="1:4" x14ac:dyDescent="0.25">
      <c r="A87" s="3" t="s">
        <v>89</v>
      </c>
      <c r="B87" s="4">
        <v>69</v>
      </c>
      <c r="C87" s="3" t="str">
        <f ca="1">IFERROR(ROWSDUMMYFUNCTION(IF(A87="","",IFERROR(IMAGE(CONCATENATE("https://us.pandora.net/on/demandware.static/-/Sites-pandora-master-catalog/default/dwbb259ca6/productimages/singlepackshot/",LEFT(A87,FIND("-",A87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87" s="5" t="str">
        <f ca="1">IFERROR(ROWSDUMMYFUNCTION(IF(A87="","",CONCATENATE("https://us.pandora.net/on/demandware.static/-/Sites-pandora-master-catalog/default/dwbb259ca6/productimages/singlepackshot/",LEFT(A87,FIND("-",A87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88" spans="1:4" x14ac:dyDescent="0.25">
      <c r="A88" s="3" t="s">
        <v>90</v>
      </c>
      <c r="B88" s="4">
        <v>69</v>
      </c>
      <c r="C88" s="3" t="str">
        <f ca="1">IFERROR(ROWSDUMMYFUNCTION(IF(A88="","",IFERROR(IMAGE(CONCATENATE("https://us.pandora.net/on/demandware.static/-/Sites-pandora-master-catalog/default/dwbb259ca6/productimages/singlepackshot/",LEFT(A88,FIND("-",A88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88" s="5" t="str">
        <f ca="1">IFERROR(ROWSDUMMYFUNCTION(IF(A88="","",CONCATENATE("https://us.pandora.net/on/demandware.static/-/Sites-pandora-master-catalog/default/dwbb259ca6/productimages/singlepackshot/",LEFT(A88,FIND("-",A88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89" spans="1:4" x14ac:dyDescent="0.25">
      <c r="A89" s="3" t="s">
        <v>91</v>
      </c>
      <c r="B89" s="4">
        <v>69</v>
      </c>
      <c r="C89" s="3" t="str">
        <f ca="1">IFERROR(ROWSDUMMYFUNCTION(IF(A89="","",IFERROR(IMAGE(CONCATENATE("https://us.pandora.net/on/demandware.static/-/Sites-pandora-master-catalog/default/dwbb259ca6/productimages/singlepackshot/",LEFT(A89,FIND("-",A89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89" s="5" t="str">
        <f ca="1">IFERROR(ROWSDUMMYFUNCTION(IF(A89="","",CONCATENATE("https://us.pandora.net/on/demandware.static/-/Sites-pandora-master-catalog/default/dwbb259ca6/productimages/singlepackshot/",LEFT(A89,FIND("-",A89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90" spans="1:4" x14ac:dyDescent="0.25">
      <c r="A90" s="3" t="s">
        <v>92</v>
      </c>
      <c r="B90" s="4">
        <v>69</v>
      </c>
      <c r="C90" s="3" t="str">
        <f ca="1">IFERROR(ROWSDUMMYFUNCTION(IF(A90="","",IFERROR(IMAGE(CONCATENATE("https://us.pandora.net/on/demandware.static/-/Sites-pandora-master-catalog/default/dwbb259ca6/productimages/singlepackshot/",LEFT(A90,FIND("-",A90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90" s="5" t="str">
        <f ca="1">IFERROR(ROWSDUMMYFUNCTION(IF(A90="","",CONCATENATE("https://us.pandora.net/on/demandware.static/-/Sites-pandora-master-catalog/default/dwbb259ca6/productimages/singlepackshot/",LEFT(A90,FIND("-",A90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91" spans="1:4" x14ac:dyDescent="0.25">
      <c r="A91" s="3" t="s">
        <v>93</v>
      </c>
      <c r="B91" s="4">
        <v>69</v>
      </c>
      <c r="C91" s="3" t="str">
        <f ca="1">IFERROR(ROWSDUMMYFUNCTION(IF(A91="","",IFERROR(IMAGE(CONCATENATE("https://us.pandora.net/on/demandware.static/-/Sites-pandora-master-catalog/default/dwbb259ca6/productimages/singlepackshot/",LEFT(A91,FIND("-",A91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91" s="5" t="str">
        <f ca="1">IFERROR(ROWSDUMMYFUNCTION(IF(A91="","",CONCATENATE("https://us.pandora.net/on/demandware.static/-/Sites-pandora-master-catalog/default/dwbb259ca6/productimages/singlepackshot/",LEFT(A91,FIND("-",A91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92" spans="1:4" x14ac:dyDescent="0.25">
      <c r="A92" s="3" t="s">
        <v>94</v>
      </c>
      <c r="B92" s="4">
        <v>69</v>
      </c>
      <c r="C92" s="3" t="str">
        <f ca="1">IFERROR(ROWSDUMMYFUNCTION(IF(A92="","",IFERROR(IMAGE(CONCATENATE("https://us.pandora.net/on/demandware.static/-/Sites-pandora-master-catalog/default/dwbb259ca6/productimages/singlepackshot/",LEFT(A92,FIND("-",A92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92" s="5" t="str">
        <f ca="1">IFERROR(ROWSDUMMYFUNCTION(IF(A92="","",CONCATENATE("https://us.pandora.net/on/demandware.static/-/Sites-pandora-master-catalog/default/dwbb259ca6/productimages/singlepackshot/",LEFT(A92,FIND("-",A92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93" spans="1:4" x14ac:dyDescent="0.25">
      <c r="A93" s="3" t="s">
        <v>95</v>
      </c>
      <c r="B93" s="4">
        <v>69</v>
      </c>
      <c r="C93" s="3" t="str">
        <f ca="1">IFERROR(ROWSDUMMYFUNCTION(IF(A93="","",IFERROR(IMAGE(CONCATENATE("https://us.pandora.net/on/demandware.static/-/Sites-pandora-master-catalog/default/dwbb259ca6/productimages/singlepackshot/",LEFT(A93,FIND("-",A93&amp;"-")-1),"_RGB.png")),""))),"{""url"":""https://us.pandora.net/on/demandware.static/-/Sites-pandora-master-catalog/default/dwbb259ca6/productimages/singlepackshot/162674C01_RGB.png"",""mode"":1}")</f>
        <v>{"url":"https://us.pandora.net/on/demandware.static/-/Sites-pandora-master-catalog/default/dwbb259ca6/productimages/singlepackshot/162674C01_RGB.png","mode":1}</v>
      </c>
      <c r="D93" s="5" t="str">
        <f ca="1">IFERROR(ROWSDUMMYFUNCTION(IF(A93="","",CONCATENATE("https://us.pandora.net/on/demandware.static/-/Sites-pandora-master-catalog/default/dwbb259ca6/productimages/singlepackshot/",LEFT(A93,FIND("-",A93&amp;"-")-1),"_RGB.png"))),"https://us.pandora.net/on/demandware.static/-/Sites-pandora-master-catalog/default/dwbb259ca6/productimages/singlepackshot/162674C01_RGB.png")</f>
        <v>https://us.pandora.net/on/demandware.static/-/Sites-pandora-master-catalog/default/dwbb259ca6/productimages/singlepackshot/162674C01_RGB.png</v>
      </c>
    </row>
    <row r="94" spans="1:4" x14ac:dyDescent="0.25">
      <c r="A94" s="3" t="s">
        <v>96</v>
      </c>
      <c r="B94" s="4">
        <v>49</v>
      </c>
      <c r="C94" s="3" t="str">
        <f ca="1">IFERROR(ROWSDUMMYFUNCTION(IF(A94="","",IFERROR(IMAGE(CONCATENATE("https://us.pandora.net/on/demandware.static/-/Sites-pandora-master-catalog/default/dwbb259ca6/productimages/singlepackshot/",LEFT(A94,FIND("-",A94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94" s="5" t="str">
        <f ca="1">IFERROR(ROWSDUMMYFUNCTION(IF(A94="","",CONCATENATE("https://us.pandora.net/on/demandware.static/-/Sites-pandora-master-catalog/default/dwbb259ca6/productimages/singlepackshot/",LEFT(A94,FIND("-",A94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95" spans="1:4" x14ac:dyDescent="0.25">
      <c r="A95" s="3" t="s">
        <v>97</v>
      </c>
      <c r="B95" s="4">
        <v>49</v>
      </c>
      <c r="C95" s="3" t="str">
        <f ca="1">IFERROR(ROWSDUMMYFUNCTION(IF(A95="","",IFERROR(IMAGE(CONCATENATE("https://us.pandora.net/on/demandware.static/-/Sites-pandora-master-catalog/default/dwbb259ca6/productimages/singlepackshot/",LEFT(A95,FIND("-",A95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95" s="5" t="str">
        <f ca="1">IFERROR(ROWSDUMMYFUNCTION(IF(A95="","",CONCATENATE("https://us.pandora.net/on/demandware.static/-/Sites-pandora-master-catalog/default/dwbb259ca6/productimages/singlepackshot/",LEFT(A95,FIND("-",A95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96" spans="1:4" x14ac:dyDescent="0.25">
      <c r="A96" s="3" t="s">
        <v>98</v>
      </c>
      <c r="B96" s="4">
        <v>49</v>
      </c>
      <c r="C96" s="3" t="str">
        <f ca="1">IFERROR(ROWSDUMMYFUNCTION(IF(A96="","",IFERROR(IMAGE(CONCATENATE("https://us.pandora.net/on/demandware.static/-/Sites-pandora-master-catalog/default/dwbb259ca6/productimages/singlepackshot/",LEFT(A96,FIND("-",A96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96" s="5" t="str">
        <f ca="1">IFERROR(ROWSDUMMYFUNCTION(IF(A96="","",CONCATENATE("https://us.pandora.net/on/demandware.static/-/Sites-pandora-master-catalog/default/dwbb259ca6/productimages/singlepackshot/",LEFT(A96,FIND("-",A96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97" spans="1:4" x14ac:dyDescent="0.25">
      <c r="A97" s="3" t="s">
        <v>99</v>
      </c>
      <c r="B97" s="4">
        <v>49</v>
      </c>
      <c r="C97" s="3" t="str">
        <f ca="1">IFERROR(ROWSDUMMYFUNCTION(IF(A97="","",IFERROR(IMAGE(CONCATENATE("https://us.pandora.net/on/demandware.static/-/Sites-pandora-master-catalog/default/dwbb259ca6/productimages/singlepackshot/",LEFT(A97,FIND("-",A97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97" s="5" t="str">
        <f ca="1">IFERROR(ROWSDUMMYFUNCTION(IF(A97="","",CONCATENATE("https://us.pandora.net/on/demandware.static/-/Sites-pandora-master-catalog/default/dwbb259ca6/productimages/singlepackshot/",LEFT(A97,FIND("-",A97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98" spans="1:4" x14ac:dyDescent="0.25">
      <c r="A98" s="3" t="s">
        <v>100</v>
      </c>
      <c r="B98" s="4">
        <v>49</v>
      </c>
      <c r="C98" s="3" t="str">
        <f ca="1">IFERROR(ROWSDUMMYFUNCTION(IF(A98="","",IFERROR(IMAGE(CONCATENATE("https://us.pandora.net/on/demandware.static/-/Sites-pandora-master-catalog/default/dwbb259ca6/productimages/singlepackshot/",LEFT(A98,FIND("-",A98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98" s="5" t="str">
        <f ca="1">IFERROR(ROWSDUMMYFUNCTION(IF(A98="","",CONCATENATE("https://us.pandora.net/on/demandware.static/-/Sites-pandora-master-catalog/default/dwbb259ca6/productimages/singlepackshot/",LEFT(A98,FIND("-",A98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99" spans="1:4" x14ac:dyDescent="0.25">
      <c r="A99" s="3" t="s">
        <v>101</v>
      </c>
      <c r="B99" s="4">
        <v>49</v>
      </c>
      <c r="C99" s="3" t="str">
        <f ca="1">IFERROR(ROWSDUMMYFUNCTION(IF(A99="","",IFERROR(IMAGE(CONCATENATE("https://us.pandora.net/on/demandware.static/-/Sites-pandora-master-catalog/default/dwbb259ca6/productimages/singlepackshot/",LEFT(A99,FIND("-",A99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99" s="5" t="str">
        <f ca="1">IFERROR(ROWSDUMMYFUNCTION(IF(A99="","",CONCATENATE("https://us.pandora.net/on/demandware.static/-/Sites-pandora-master-catalog/default/dwbb259ca6/productimages/singlepackshot/",LEFT(A99,FIND("-",A99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100" spans="1:4" x14ac:dyDescent="0.25">
      <c r="A100" s="3" t="s">
        <v>102</v>
      </c>
      <c r="B100" s="4">
        <v>49</v>
      </c>
      <c r="C100" s="3" t="str">
        <f ca="1">IFERROR(ROWSDUMMYFUNCTION(IF(A100="","",IFERROR(IMAGE(CONCATENATE("https://us.pandora.net/on/demandware.static/-/Sites-pandora-master-catalog/default/dwbb259ca6/productimages/singlepackshot/",LEFT(A100,FIND("-",A100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100" s="5" t="str">
        <f ca="1">IFERROR(ROWSDUMMYFUNCTION(IF(A100="","",CONCATENATE("https://us.pandora.net/on/demandware.static/-/Sites-pandora-master-catalog/default/dwbb259ca6/productimages/singlepackshot/",LEFT(A100,FIND("-",A100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101" spans="1:4" x14ac:dyDescent="0.25">
      <c r="A101" s="3" t="s">
        <v>103</v>
      </c>
      <c r="B101" s="4">
        <v>49</v>
      </c>
      <c r="C101" s="3" t="str">
        <f ca="1">IFERROR(ROWSDUMMYFUNCTION(IF(A101="","",IFERROR(IMAGE(CONCATENATE("https://us.pandora.net/on/demandware.static/-/Sites-pandora-master-catalog/default/dwbb259ca6/productimages/singlepackshot/",LEFT(A101,FIND("-",A101&amp;"-")-1),"_RGB.png")),""))),"{""url"":""https://us.pandora.net/on/demandware.static/-/Sites-pandora-master-catalog/default/dwbb259ca6/productimages/singlepackshot/162800C01_RGB.png"",""mode"":1}")</f>
        <v>{"url":"https://us.pandora.net/on/demandware.static/-/Sites-pandora-master-catalog/default/dwbb259ca6/productimages/singlepackshot/162800C01_RGB.png","mode":1}</v>
      </c>
      <c r="D101" s="5" t="str">
        <f ca="1">IFERROR(ROWSDUMMYFUNCTION(IF(A101="","",CONCATENATE("https://us.pandora.net/on/demandware.static/-/Sites-pandora-master-catalog/default/dwbb259ca6/productimages/singlepackshot/",LEFT(A101,FIND("-",A101&amp;"-")-1),"_RGB.png"))),"https://us.pandora.net/on/demandware.static/-/Sites-pandora-master-catalog/default/dwbb259ca6/productimages/singlepackshot/162800C01_RGB.png")</f>
        <v>https://us.pandora.net/on/demandware.static/-/Sites-pandora-master-catalog/default/dwbb259ca6/productimages/singlepackshot/162800C01_RGB.png</v>
      </c>
    </row>
    <row r="102" spans="1:4" x14ac:dyDescent="0.25">
      <c r="A102" s="3" t="s">
        <v>104</v>
      </c>
      <c r="B102" s="4">
        <v>59</v>
      </c>
      <c r="C102" s="3" t="str">
        <f ca="1">IFERROR(ROWSDUMMYFUNCTION(IF(A102="","",IFERROR(IMAGE(CONCATENATE("https://us.pandora.net/on/demandware.static/-/Sites-pandora-master-catalog/default/dwbb259ca6/productimages/singlepackshot/",LEFT(A102,FIND("-",A102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2" s="5" t="str">
        <f ca="1">IFERROR(ROWSDUMMYFUNCTION(IF(A102="","",CONCATENATE("https://us.pandora.net/on/demandware.static/-/Sites-pandora-master-catalog/default/dwbb259ca6/productimages/singlepackshot/",LEFT(A102,FIND("-",A102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3" spans="1:4" x14ac:dyDescent="0.25">
      <c r="A103" s="3" t="s">
        <v>105</v>
      </c>
      <c r="B103" s="4">
        <v>59</v>
      </c>
      <c r="C103" s="3" t="str">
        <f ca="1">IFERROR(ROWSDUMMYFUNCTION(IF(A103="","",IFERROR(IMAGE(CONCATENATE("https://us.pandora.net/on/demandware.static/-/Sites-pandora-master-catalog/default/dwbb259ca6/productimages/singlepackshot/",LEFT(A103,FIND("-",A103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3" s="5" t="str">
        <f ca="1">IFERROR(ROWSDUMMYFUNCTION(IF(A103="","",CONCATENATE("https://us.pandora.net/on/demandware.static/-/Sites-pandora-master-catalog/default/dwbb259ca6/productimages/singlepackshot/",LEFT(A103,FIND("-",A103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4" spans="1:4" x14ac:dyDescent="0.25">
      <c r="A104" s="3" t="s">
        <v>106</v>
      </c>
      <c r="B104" s="4">
        <v>59</v>
      </c>
      <c r="C104" s="3" t="str">
        <f ca="1">IFERROR(ROWSDUMMYFUNCTION(IF(A104="","",IFERROR(IMAGE(CONCATENATE("https://us.pandora.net/on/demandware.static/-/Sites-pandora-master-catalog/default/dwbb259ca6/productimages/singlepackshot/",LEFT(A104,FIND("-",A104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4" s="5" t="str">
        <f ca="1">IFERROR(ROWSDUMMYFUNCTION(IF(A104="","",CONCATENATE("https://us.pandora.net/on/demandware.static/-/Sites-pandora-master-catalog/default/dwbb259ca6/productimages/singlepackshot/",LEFT(A104,FIND("-",A104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5" spans="1:4" x14ac:dyDescent="0.25">
      <c r="A105" s="3" t="s">
        <v>107</v>
      </c>
      <c r="B105" s="4">
        <v>59</v>
      </c>
      <c r="C105" s="3" t="str">
        <f ca="1">IFERROR(ROWSDUMMYFUNCTION(IF(A105="","",IFERROR(IMAGE(CONCATENATE("https://us.pandora.net/on/demandware.static/-/Sites-pandora-master-catalog/default/dwbb259ca6/productimages/singlepackshot/",LEFT(A105,FIND("-",A105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5" s="5" t="str">
        <f ca="1">IFERROR(ROWSDUMMYFUNCTION(IF(A105="","",CONCATENATE("https://us.pandora.net/on/demandware.static/-/Sites-pandora-master-catalog/default/dwbb259ca6/productimages/singlepackshot/",LEFT(A105,FIND("-",A105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6" spans="1:4" x14ac:dyDescent="0.25">
      <c r="A106" s="3" t="s">
        <v>108</v>
      </c>
      <c r="B106" s="4">
        <v>59</v>
      </c>
      <c r="C106" s="3" t="str">
        <f ca="1">IFERROR(ROWSDUMMYFUNCTION(IF(A106="","",IFERROR(IMAGE(CONCATENATE("https://us.pandora.net/on/demandware.static/-/Sites-pandora-master-catalog/default/dwbb259ca6/productimages/singlepackshot/",LEFT(A106,FIND("-",A106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6" s="5" t="str">
        <f ca="1">IFERROR(ROWSDUMMYFUNCTION(IF(A106="","",CONCATENATE("https://us.pandora.net/on/demandware.static/-/Sites-pandora-master-catalog/default/dwbb259ca6/productimages/singlepackshot/",LEFT(A106,FIND("-",A106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7" spans="1:4" x14ac:dyDescent="0.25">
      <c r="A107" s="3" t="s">
        <v>109</v>
      </c>
      <c r="B107" s="4">
        <v>59</v>
      </c>
      <c r="C107" s="3" t="str">
        <f ca="1">IFERROR(ROWSDUMMYFUNCTION(IF(A107="","",IFERROR(IMAGE(CONCATENATE("https://us.pandora.net/on/demandware.static/-/Sites-pandora-master-catalog/default/dwbb259ca6/productimages/singlepackshot/",LEFT(A107,FIND("-",A107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7" s="5" t="str">
        <f ca="1">IFERROR(ROWSDUMMYFUNCTION(IF(A107="","",CONCATENATE("https://us.pandora.net/on/demandware.static/-/Sites-pandora-master-catalog/default/dwbb259ca6/productimages/singlepackshot/",LEFT(A107,FIND("-",A107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8" spans="1:4" x14ac:dyDescent="0.25">
      <c r="A108" s="3" t="s">
        <v>110</v>
      </c>
      <c r="B108" s="4">
        <v>59</v>
      </c>
      <c r="C108" s="3" t="str">
        <f ca="1">IFERROR(ROWSDUMMYFUNCTION(IF(A108="","",IFERROR(IMAGE(CONCATENATE("https://us.pandora.net/on/demandware.static/-/Sites-pandora-master-catalog/default/dwbb259ca6/productimages/singlepackshot/",LEFT(A108,FIND("-",A108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8" s="5" t="str">
        <f ca="1">IFERROR(ROWSDUMMYFUNCTION(IF(A108="","",CONCATENATE("https://us.pandora.net/on/demandware.static/-/Sites-pandora-master-catalog/default/dwbb259ca6/productimages/singlepackshot/",LEFT(A108,FIND("-",A108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09" spans="1:4" x14ac:dyDescent="0.25">
      <c r="A109" s="3" t="s">
        <v>111</v>
      </c>
      <c r="B109" s="4">
        <v>59</v>
      </c>
      <c r="C109" s="3" t="str">
        <f ca="1">IFERROR(ROWSDUMMYFUNCTION(IF(A109="","",IFERROR(IMAGE(CONCATENATE("https://us.pandora.net/on/demandware.static/-/Sites-pandora-master-catalog/default/dwbb259ca6/productimages/singlepackshot/",LEFT(A109,FIND("-",A109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09" s="5" t="str">
        <f ca="1">IFERROR(ROWSDUMMYFUNCTION(IF(A109="","",CONCATENATE("https://us.pandora.net/on/demandware.static/-/Sites-pandora-master-catalog/default/dwbb259ca6/productimages/singlepackshot/",LEFT(A109,FIND("-",A109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10" spans="1:4" x14ac:dyDescent="0.25">
      <c r="A110" s="3" t="s">
        <v>112</v>
      </c>
      <c r="B110" s="4">
        <v>59</v>
      </c>
      <c r="C110" s="3" t="str">
        <f ca="1">IFERROR(ROWSDUMMYFUNCTION(IF(A110="","",IFERROR(IMAGE(CONCATENATE("https://us.pandora.net/on/demandware.static/-/Sites-pandora-master-catalog/default/dwbb259ca6/productimages/singlepackshot/",LEFT(A110,FIND("-",A110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10" s="5" t="str">
        <f ca="1">IFERROR(ROWSDUMMYFUNCTION(IF(A110="","",CONCATENATE("https://us.pandora.net/on/demandware.static/-/Sites-pandora-master-catalog/default/dwbb259ca6/productimages/singlepackshot/",LEFT(A110,FIND("-",A110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11" spans="1:4" x14ac:dyDescent="0.25">
      <c r="A111" s="3" t="s">
        <v>113</v>
      </c>
      <c r="B111" s="4">
        <v>59</v>
      </c>
      <c r="C111" s="3" t="str">
        <f ca="1">IFERROR(ROWSDUMMYFUNCTION(IF(A111="","",IFERROR(IMAGE(CONCATENATE("https://us.pandora.net/on/demandware.static/-/Sites-pandora-master-catalog/default/dwbb259ca6/productimages/singlepackshot/",LEFT(A111,FIND("-",A111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11" s="5" t="str">
        <f ca="1">IFERROR(ROWSDUMMYFUNCTION(IF(A111="","",CONCATENATE("https://us.pandora.net/on/demandware.static/-/Sites-pandora-master-catalog/default/dwbb259ca6/productimages/singlepackshot/",LEFT(A111,FIND("-",A111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12" spans="1:4" x14ac:dyDescent="0.25">
      <c r="A112" s="3" t="s">
        <v>114</v>
      </c>
      <c r="B112" s="4">
        <v>59</v>
      </c>
      <c r="C112" s="3" t="str">
        <f ca="1">IFERROR(ROWSDUMMYFUNCTION(IF(A112="","",IFERROR(IMAGE(CONCATENATE("https://us.pandora.net/on/demandware.static/-/Sites-pandora-master-catalog/default/dwbb259ca6/productimages/singlepackshot/",LEFT(A112,FIND("-",A112&amp;"-")-1),"_RGB.png")),""))),"{""url"":""https://us.pandora.net/on/demandware.static/-/Sites-pandora-master-catalog/default/dwbb259ca6/productimages/singlepackshot/162999C01_RGB.png"",""mode"":1}")</f>
        <v>{"url":"https://us.pandora.net/on/demandware.static/-/Sites-pandora-master-catalog/default/dwbb259ca6/productimages/singlepackshot/162999C01_RGB.png","mode":1}</v>
      </c>
      <c r="D112" s="5" t="str">
        <f ca="1">IFERROR(ROWSDUMMYFUNCTION(IF(A112="","",CONCATENATE("https://us.pandora.net/on/demandware.static/-/Sites-pandora-master-catalog/default/dwbb259ca6/productimages/singlepackshot/",LEFT(A112,FIND("-",A112&amp;"-")-1),"_RGB.png"))),"https://us.pandora.net/on/demandware.static/-/Sites-pandora-master-catalog/default/dwbb259ca6/productimages/singlepackshot/162999C01_RGB.png")</f>
        <v>https://us.pandora.net/on/demandware.static/-/Sites-pandora-master-catalog/default/dwbb259ca6/productimages/singlepackshot/162999C01_RGB.png</v>
      </c>
    </row>
    <row r="113" spans="1:4" x14ac:dyDescent="0.25">
      <c r="A113" s="3" t="s">
        <v>115</v>
      </c>
      <c r="B113" s="4">
        <v>89</v>
      </c>
      <c r="C113" s="3" t="str">
        <f ca="1">IFERROR(ROWSDUMMYFUNCTION(IF(A113="","",IFERROR(IMAGE(CONCATENATE("https://us.pandora.net/on/demandware.static/-/Sites-pandora-master-catalog/default/dwbb259ca6/productimages/singlepackshot/",LEFT(A113,FIND("-",A113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3" s="5" t="str">
        <f ca="1">IFERROR(ROWSDUMMYFUNCTION(IF(A113="","",CONCATENATE("https://us.pandora.net/on/demandware.static/-/Sites-pandora-master-catalog/default/dwbb259ca6/productimages/singlepackshot/",LEFT(A113,FIND("-",A113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14" spans="1:4" x14ac:dyDescent="0.25">
      <c r="A114" s="3" t="s">
        <v>116</v>
      </c>
      <c r="B114" s="4">
        <v>89</v>
      </c>
      <c r="C114" s="3" t="str">
        <f ca="1">IFERROR(ROWSDUMMYFUNCTION(IF(A114="","",IFERROR(IMAGE(CONCATENATE("https://us.pandora.net/on/demandware.static/-/Sites-pandora-master-catalog/default/dwbb259ca6/productimages/singlepackshot/",LEFT(A114,FIND("-",A114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4" s="5" t="str">
        <f ca="1">IFERROR(ROWSDUMMYFUNCTION(IF(A114="","",CONCATENATE("https://us.pandora.net/on/demandware.static/-/Sites-pandora-master-catalog/default/dwbb259ca6/productimages/singlepackshot/",LEFT(A114,FIND("-",A114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15" spans="1:4" x14ac:dyDescent="0.25">
      <c r="A115" s="3" t="s">
        <v>117</v>
      </c>
      <c r="B115" s="4">
        <v>89</v>
      </c>
      <c r="C115" s="3" t="str">
        <f ca="1">IFERROR(ROWSDUMMYFUNCTION(IF(A115="","",IFERROR(IMAGE(CONCATENATE("https://us.pandora.net/on/demandware.static/-/Sites-pandora-master-catalog/default/dwbb259ca6/productimages/singlepackshot/",LEFT(A115,FIND("-",A115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5" s="5" t="str">
        <f ca="1">IFERROR(ROWSDUMMYFUNCTION(IF(A115="","",CONCATENATE("https://us.pandora.net/on/demandware.static/-/Sites-pandora-master-catalog/default/dwbb259ca6/productimages/singlepackshot/",LEFT(A115,FIND("-",A115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16" spans="1:4" x14ac:dyDescent="0.25">
      <c r="A116" s="3" t="s">
        <v>118</v>
      </c>
      <c r="B116" s="4">
        <v>89</v>
      </c>
      <c r="C116" s="3" t="str">
        <f ca="1">IFERROR(ROWSDUMMYFUNCTION(IF(A116="","",IFERROR(IMAGE(CONCATENATE("https://us.pandora.net/on/demandware.static/-/Sites-pandora-master-catalog/default/dwbb259ca6/productimages/singlepackshot/",LEFT(A116,FIND("-",A116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6" s="5" t="str">
        <f ca="1">IFERROR(ROWSDUMMYFUNCTION(IF(A116="","",CONCATENATE("https://us.pandora.net/on/demandware.static/-/Sites-pandora-master-catalog/default/dwbb259ca6/productimages/singlepackshot/",LEFT(A116,FIND("-",A116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17" spans="1:4" x14ac:dyDescent="0.25">
      <c r="A117" s="3" t="s">
        <v>119</v>
      </c>
      <c r="B117" s="4">
        <v>89</v>
      </c>
      <c r="C117" s="3" t="str">
        <f ca="1">IFERROR(ROWSDUMMYFUNCTION(IF(A117="","",IFERROR(IMAGE(CONCATENATE("https://us.pandora.net/on/demandware.static/-/Sites-pandora-master-catalog/default/dwbb259ca6/productimages/singlepackshot/",LEFT(A117,FIND("-",A117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7" s="5" t="str">
        <f ca="1">IFERROR(ROWSDUMMYFUNCTION(IF(A117="","",CONCATENATE("https://us.pandora.net/on/demandware.static/-/Sites-pandora-master-catalog/default/dwbb259ca6/productimages/singlepackshot/",LEFT(A117,FIND("-",A117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18" spans="1:4" x14ac:dyDescent="0.25">
      <c r="A118" s="3" t="s">
        <v>120</v>
      </c>
      <c r="B118" s="4">
        <v>89</v>
      </c>
      <c r="C118" s="3" t="str">
        <f ca="1">IFERROR(ROWSDUMMYFUNCTION(IF(A118="","",IFERROR(IMAGE(CONCATENATE("https://us.pandora.net/on/demandware.static/-/Sites-pandora-master-catalog/default/dwbb259ca6/productimages/singlepackshot/",LEFT(A118,FIND("-",A118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8" s="5" t="str">
        <f ca="1">IFERROR(ROWSDUMMYFUNCTION(IF(A118="","",CONCATENATE("https://us.pandora.net/on/demandware.static/-/Sites-pandora-master-catalog/default/dwbb259ca6/productimages/singlepackshot/",LEFT(A118,FIND("-",A118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19" spans="1:4" x14ac:dyDescent="0.25">
      <c r="A119" s="3" t="s">
        <v>121</v>
      </c>
      <c r="B119" s="4">
        <v>89</v>
      </c>
      <c r="C119" s="3" t="str">
        <f ca="1">IFERROR(ROWSDUMMYFUNCTION(IF(A119="","",IFERROR(IMAGE(CONCATENATE("https://us.pandora.net/on/demandware.static/-/Sites-pandora-master-catalog/default/dwbb259ca6/productimages/singlepackshot/",LEFT(A119,FIND("-",A119&amp;"-")-1),"_RGB.png")),""))),"{""url"":""https://us.pandora.net/on/demandware.static/-/Sites-pandora-master-catalog/default/dwbb259ca6/productimages/singlepackshot/163059C01_RGB.png"",""mode"":1}")</f>
        <v>{"url":"https://us.pandora.net/on/demandware.static/-/Sites-pandora-master-catalog/default/dwbb259ca6/productimages/singlepackshot/163059C01_RGB.png","mode":1}</v>
      </c>
      <c r="D119" s="5" t="str">
        <f ca="1">IFERROR(ROWSDUMMYFUNCTION(IF(A119="","",CONCATENATE("https://us.pandora.net/on/demandware.static/-/Sites-pandora-master-catalog/default/dwbb259ca6/productimages/singlepackshot/",LEFT(A119,FIND("-",A119&amp;"-")-1),"_RGB.png"))),"https://us.pandora.net/on/demandware.static/-/Sites-pandora-master-catalog/default/dwbb259ca6/productimages/singlepackshot/163059C01_RGB.png")</f>
        <v>https://us.pandora.net/on/demandware.static/-/Sites-pandora-master-catalog/default/dwbb259ca6/productimages/singlepackshot/163059C01_RGB.png</v>
      </c>
    </row>
    <row r="120" spans="1:4" x14ac:dyDescent="0.25">
      <c r="A120" s="3" t="s">
        <v>122</v>
      </c>
      <c r="B120" s="4">
        <v>59</v>
      </c>
      <c r="C120" s="3" t="str">
        <f ca="1">IFERROR(ROWSDUMMYFUNCTION(IF(A120="","",IFERROR(IMAGE(CONCATENATE("https://us.pandora.net/on/demandware.static/-/Sites-pandora-master-catalog/default/dwbb259ca6/productimages/singlepackshot/",LEFT(A120,FIND("-",A120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0" s="5" t="str">
        <f ca="1">IFERROR(ROWSDUMMYFUNCTION(IF(A120="","",CONCATENATE("https://us.pandora.net/on/demandware.static/-/Sites-pandora-master-catalog/default/dwbb259ca6/productimages/singlepackshot/",LEFT(A120,FIND("-",A120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1" spans="1:4" x14ac:dyDescent="0.25">
      <c r="A121" s="3" t="s">
        <v>123</v>
      </c>
      <c r="B121" s="4">
        <v>59</v>
      </c>
      <c r="C121" s="3" t="str">
        <f ca="1">IFERROR(ROWSDUMMYFUNCTION(IF(A121="","",IFERROR(IMAGE(CONCATENATE("https://us.pandora.net/on/demandware.static/-/Sites-pandora-master-catalog/default/dwbb259ca6/productimages/singlepackshot/",LEFT(A121,FIND("-",A121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1" s="5" t="str">
        <f ca="1">IFERROR(ROWSDUMMYFUNCTION(IF(A121="","",CONCATENATE("https://us.pandora.net/on/demandware.static/-/Sites-pandora-master-catalog/default/dwbb259ca6/productimages/singlepackshot/",LEFT(A121,FIND("-",A121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2" spans="1:4" x14ac:dyDescent="0.25">
      <c r="A122" s="3" t="s">
        <v>124</v>
      </c>
      <c r="B122" s="4">
        <v>59</v>
      </c>
      <c r="C122" s="3" t="str">
        <f ca="1">IFERROR(ROWSDUMMYFUNCTION(IF(A122="","",IFERROR(IMAGE(CONCATENATE("https://us.pandora.net/on/demandware.static/-/Sites-pandora-master-catalog/default/dwbb259ca6/productimages/singlepackshot/",LEFT(A122,FIND("-",A122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2" s="5" t="str">
        <f ca="1">IFERROR(ROWSDUMMYFUNCTION(IF(A122="","",CONCATENATE("https://us.pandora.net/on/demandware.static/-/Sites-pandora-master-catalog/default/dwbb259ca6/productimages/singlepackshot/",LEFT(A122,FIND("-",A122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3" spans="1:4" x14ac:dyDescent="0.25">
      <c r="A123" s="3" t="s">
        <v>125</v>
      </c>
      <c r="B123" s="4">
        <v>59</v>
      </c>
      <c r="C123" s="3" t="str">
        <f ca="1">IFERROR(ROWSDUMMYFUNCTION(IF(A123="","",IFERROR(IMAGE(CONCATENATE("https://us.pandora.net/on/demandware.static/-/Sites-pandora-master-catalog/default/dwbb259ca6/productimages/singlepackshot/",LEFT(A123,FIND("-",A123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3" s="5" t="str">
        <f ca="1">IFERROR(ROWSDUMMYFUNCTION(IF(A123="","",CONCATENATE("https://us.pandora.net/on/demandware.static/-/Sites-pandora-master-catalog/default/dwbb259ca6/productimages/singlepackshot/",LEFT(A123,FIND("-",A123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4" spans="1:4" x14ac:dyDescent="0.25">
      <c r="A124" s="3" t="s">
        <v>126</v>
      </c>
      <c r="B124" s="4">
        <v>59</v>
      </c>
      <c r="C124" s="3" t="str">
        <f ca="1">IFERROR(ROWSDUMMYFUNCTION(IF(A124="","",IFERROR(IMAGE(CONCATENATE("https://us.pandora.net/on/demandware.static/-/Sites-pandora-master-catalog/default/dwbb259ca6/productimages/singlepackshot/",LEFT(A124,FIND("-",A124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4" s="5" t="str">
        <f ca="1">IFERROR(ROWSDUMMYFUNCTION(IF(A124="","",CONCATENATE("https://us.pandora.net/on/demandware.static/-/Sites-pandora-master-catalog/default/dwbb259ca6/productimages/singlepackshot/",LEFT(A124,FIND("-",A124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5" spans="1:4" x14ac:dyDescent="0.25">
      <c r="A125" s="3" t="s">
        <v>127</v>
      </c>
      <c r="B125" s="4">
        <v>59</v>
      </c>
      <c r="C125" s="3" t="str">
        <f ca="1">IFERROR(ROWSDUMMYFUNCTION(IF(A125="","",IFERROR(IMAGE(CONCATENATE("https://us.pandora.net/on/demandware.static/-/Sites-pandora-master-catalog/default/dwbb259ca6/productimages/singlepackshot/",LEFT(A125,FIND("-",A125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5" s="5" t="str">
        <f ca="1">IFERROR(ROWSDUMMYFUNCTION(IF(A125="","",CONCATENATE("https://us.pandora.net/on/demandware.static/-/Sites-pandora-master-catalog/default/dwbb259ca6/productimages/singlepackshot/",LEFT(A125,FIND("-",A125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6" spans="1:4" x14ac:dyDescent="0.25">
      <c r="A126" s="3" t="s">
        <v>128</v>
      </c>
      <c r="B126" s="4">
        <v>59</v>
      </c>
      <c r="C126" s="3" t="str">
        <f ca="1">IFERROR(ROWSDUMMYFUNCTION(IF(A126="","",IFERROR(IMAGE(CONCATENATE("https://us.pandora.net/on/demandware.static/-/Sites-pandora-master-catalog/default/dwbb259ca6/productimages/singlepackshot/",LEFT(A126,FIND("-",A126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6" s="5" t="str">
        <f ca="1">IFERROR(ROWSDUMMYFUNCTION(IF(A126="","",CONCATENATE("https://us.pandora.net/on/demandware.static/-/Sites-pandora-master-catalog/default/dwbb259ca6/productimages/singlepackshot/",LEFT(A126,FIND("-",A126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7" spans="1:4" x14ac:dyDescent="0.25">
      <c r="A127" s="3" t="s">
        <v>129</v>
      </c>
      <c r="B127" s="4">
        <v>59</v>
      </c>
      <c r="C127" s="3" t="str">
        <f ca="1">IFERROR(ROWSDUMMYFUNCTION(IF(A127="","",IFERROR(IMAGE(CONCATENATE("https://us.pandora.net/on/demandware.static/-/Sites-pandora-master-catalog/default/dwbb259ca6/productimages/singlepackshot/",LEFT(A127,FIND("-",A127&amp;"-")-1),"_RGB.png")),""))),"{""url"":""https://us.pandora.net/on/demandware.static/-/Sites-pandora-master-catalog/default/dwbb259ca6/productimages/singlepackshot/163088C01_RGB.png"",""mode"":1}")</f>
        <v>{"url":"https://us.pandora.net/on/demandware.static/-/Sites-pandora-master-catalog/default/dwbb259ca6/productimages/singlepackshot/163088C01_RGB.png","mode":1}</v>
      </c>
      <c r="D127" s="5" t="str">
        <f ca="1">IFERROR(ROWSDUMMYFUNCTION(IF(A127="","",CONCATENATE("https://us.pandora.net/on/demandware.static/-/Sites-pandora-master-catalog/default/dwbb259ca6/productimages/singlepackshot/",LEFT(A127,FIND("-",A127&amp;"-")-1),"_RGB.png"))),"https://us.pandora.net/on/demandware.static/-/Sites-pandora-master-catalog/default/dwbb259ca6/productimages/singlepackshot/163088C01_RGB.png")</f>
        <v>https://us.pandora.net/on/demandware.static/-/Sites-pandora-master-catalog/default/dwbb259ca6/productimages/singlepackshot/163088C01_RGB.png</v>
      </c>
    </row>
    <row r="128" spans="1:4" x14ac:dyDescent="0.25">
      <c r="A128" s="3" t="s">
        <v>130</v>
      </c>
      <c r="B128" s="4">
        <v>49</v>
      </c>
      <c r="C128" s="3" t="str">
        <f ca="1">IFERROR(ROWSDUMMYFUNCTION(IF(A128="","",IFERROR(IMAGE(CONCATENATE("https://us.pandora.net/on/demandware.static/-/Sites-pandora-master-catalog/default/dwbb259ca6/productimages/singlepackshot/",LEFT(A128,FIND("-",A128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28" s="5" t="str">
        <f ca="1">IFERROR(ROWSDUMMYFUNCTION(IF(A128="","",CONCATENATE("https://us.pandora.net/on/demandware.static/-/Sites-pandora-master-catalog/default/dwbb259ca6/productimages/singlepackshot/",LEFT(A128,FIND("-",A128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29" spans="1:4" x14ac:dyDescent="0.25">
      <c r="A129" s="3" t="s">
        <v>131</v>
      </c>
      <c r="B129" s="4">
        <v>49</v>
      </c>
      <c r="C129" s="3" t="str">
        <f ca="1">IFERROR(ROWSDUMMYFUNCTION(IF(A129="","",IFERROR(IMAGE(CONCATENATE("https://us.pandora.net/on/demandware.static/-/Sites-pandora-master-catalog/default/dwbb259ca6/productimages/singlepackshot/",LEFT(A129,FIND("-",A129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29" s="5" t="str">
        <f ca="1">IFERROR(ROWSDUMMYFUNCTION(IF(A129="","",CONCATENATE("https://us.pandora.net/on/demandware.static/-/Sites-pandora-master-catalog/default/dwbb259ca6/productimages/singlepackshot/",LEFT(A129,FIND("-",A129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30" spans="1:4" x14ac:dyDescent="0.25">
      <c r="A130" s="3" t="s">
        <v>132</v>
      </c>
      <c r="B130" s="4">
        <v>49</v>
      </c>
      <c r="C130" s="3" t="str">
        <f ca="1">IFERROR(ROWSDUMMYFUNCTION(IF(A130="","",IFERROR(IMAGE(CONCATENATE("https://us.pandora.net/on/demandware.static/-/Sites-pandora-master-catalog/default/dwbb259ca6/productimages/singlepackshot/",LEFT(A130,FIND("-",A130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30" s="5" t="str">
        <f ca="1">IFERROR(ROWSDUMMYFUNCTION(IF(A130="","",CONCATENATE("https://us.pandora.net/on/demandware.static/-/Sites-pandora-master-catalog/default/dwbb259ca6/productimages/singlepackshot/",LEFT(A130,FIND("-",A130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31" spans="1:4" x14ac:dyDescent="0.25">
      <c r="A131" s="3" t="s">
        <v>133</v>
      </c>
      <c r="B131" s="4">
        <v>49</v>
      </c>
      <c r="C131" s="3" t="str">
        <f ca="1">IFERROR(ROWSDUMMYFUNCTION(IF(A131="","",IFERROR(IMAGE(CONCATENATE("https://us.pandora.net/on/demandware.static/-/Sites-pandora-master-catalog/default/dwbb259ca6/productimages/singlepackshot/",LEFT(A131,FIND("-",A131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31" s="5" t="str">
        <f ca="1">IFERROR(ROWSDUMMYFUNCTION(IF(A131="","",CONCATENATE("https://us.pandora.net/on/demandware.static/-/Sites-pandora-master-catalog/default/dwbb259ca6/productimages/singlepackshot/",LEFT(A131,FIND("-",A131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32" spans="1:4" x14ac:dyDescent="0.25">
      <c r="A132" s="3" t="s">
        <v>134</v>
      </c>
      <c r="B132" s="4">
        <v>49</v>
      </c>
      <c r="C132" s="3" t="str">
        <f ca="1">IFERROR(ROWSDUMMYFUNCTION(IF(A132="","",IFERROR(IMAGE(CONCATENATE("https://us.pandora.net/on/demandware.static/-/Sites-pandora-master-catalog/default/dwbb259ca6/productimages/singlepackshot/",LEFT(A132,FIND("-",A132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32" s="5" t="str">
        <f ca="1">IFERROR(ROWSDUMMYFUNCTION(IF(A132="","",CONCATENATE("https://us.pandora.net/on/demandware.static/-/Sites-pandora-master-catalog/default/dwbb259ca6/productimages/singlepackshot/",LEFT(A132,FIND("-",A132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33" spans="1:4" x14ac:dyDescent="0.25">
      <c r="A133" s="3" t="s">
        <v>135</v>
      </c>
      <c r="B133" s="4">
        <v>49</v>
      </c>
      <c r="C133" s="3" t="str">
        <f ca="1">IFERROR(ROWSDUMMYFUNCTION(IF(A133="","",IFERROR(IMAGE(CONCATENATE("https://us.pandora.net/on/demandware.static/-/Sites-pandora-master-catalog/default/dwbb259ca6/productimages/singlepackshot/",LEFT(A133,FIND("-",A133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33" s="5" t="str">
        <f ca="1">IFERROR(ROWSDUMMYFUNCTION(IF(A133="","",CONCATENATE("https://us.pandora.net/on/demandware.static/-/Sites-pandora-master-catalog/default/dwbb259ca6/productimages/singlepackshot/",LEFT(A133,FIND("-",A133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34" spans="1:4" x14ac:dyDescent="0.25">
      <c r="A134" s="3" t="s">
        <v>136</v>
      </c>
      <c r="B134" s="4">
        <v>49</v>
      </c>
      <c r="C134" s="3" t="str">
        <f ca="1">IFERROR(ROWSDUMMYFUNCTION(IF(A134="","",IFERROR(IMAGE(CONCATENATE("https://us.pandora.net/on/demandware.static/-/Sites-pandora-master-catalog/default/dwbb259ca6/productimages/singlepackshot/",LEFT(A134,FIND("-",A134&amp;"-")-1),"_RGB.png")),""))),"{""url"":""https://us.pandora.net/on/demandware.static/-/Sites-pandora-master-catalog/default/dwbb259ca6/productimages/singlepackshot/163095C00_RGB.png"",""mode"":1}")</f>
        <v>{"url":"https://us.pandora.net/on/demandware.static/-/Sites-pandora-master-catalog/default/dwbb259ca6/productimages/singlepackshot/163095C00_RGB.png","mode":1}</v>
      </c>
      <c r="D134" s="5" t="str">
        <f ca="1">IFERROR(ROWSDUMMYFUNCTION(IF(A134="","",CONCATENATE("https://us.pandora.net/on/demandware.static/-/Sites-pandora-master-catalog/default/dwbb259ca6/productimages/singlepackshot/",LEFT(A134,FIND("-",A134&amp;"-")-1),"_RGB.png"))),"https://us.pandora.net/on/demandware.static/-/Sites-pandora-master-catalog/default/dwbb259ca6/productimages/singlepackshot/163095C00_RGB.png")</f>
        <v>https://us.pandora.net/on/demandware.static/-/Sites-pandora-master-catalog/default/dwbb259ca6/productimages/singlepackshot/163095C00_RGB.png</v>
      </c>
    </row>
    <row r="135" spans="1:4" x14ac:dyDescent="0.25">
      <c r="A135" s="3" t="s">
        <v>137</v>
      </c>
      <c r="B135" s="4">
        <v>99</v>
      </c>
      <c r="C135" s="3" t="str">
        <f ca="1">IFERROR(ROWSDUMMYFUNCTION(IF(A135="","",IFERROR(IMAGE(CONCATENATE("https://us.pandora.net/on/demandware.static/-/Sites-pandora-master-catalog/default/dwbb259ca6/productimages/singlepackshot/",LEFT(A135,FIND("-",A135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35" s="5" t="str">
        <f ca="1">IFERROR(ROWSDUMMYFUNCTION(IF(A135="","",CONCATENATE("https://us.pandora.net/on/demandware.static/-/Sites-pandora-master-catalog/default/dwbb259ca6/productimages/singlepackshot/",LEFT(A135,FIND("-",A135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36" spans="1:4" x14ac:dyDescent="0.25">
      <c r="A136" s="3" t="s">
        <v>138</v>
      </c>
      <c r="B136" s="4">
        <v>99</v>
      </c>
      <c r="C136" s="3" t="str">
        <f ca="1">IFERROR(ROWSDUMMYFUNCTION(IF(A136="","",IFERROR(IMAGE(CONCATENATE("https://us.pandora.net/on/demandware.static/-/Sites-pandora-master-catalog/default/dwbb259ca6/productimages/singlepackshot/",LEFT(A136,FIND("-",A136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36" s="5" t="str">
        <f ca="1">IFERROR(ROWSDUMMYFUNCTION(IF(A136="","",CONCATENATE("https://us.pandora.net/on/demandware.static/-/Sites-pandora-master-catalog/default/dwbb259ca6/productimages/singlepackshot/",LEFT(A136,FIND("-",A136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37" spans="1:4" x14ac:dyDescent="0.25">
      <c r="A137" s="3" t="s">
        <v>139</v>
      </c>
      <c r="B137" s="4">
        <v>99</v>
      </c>
      <c r="C137" s="3" t="str">
        <f ca="1">IFERROR(ROWSDUMMYFUNCTION(IF(A137="","",IFERROR(IMAGE(CONCATENATE("https://us.pandora.net/on/demandware.static/-/Sites-pandora-master-catalog/default/dwbb259ca6/productimages/singlepackshot/",LEFT(A137,FIND("-",A137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37" s="5" t="str">
        <f ca="1">IFERROR(ROWSDUMMYFUNCTION(IF(A137="","",CONCATENATE("https://us.pandora.net/on/demandware.static/-/Sites-pandora-master-catalog/default/dwbb259ca6/productimages/singlepackshot/",LEFT(A137,FIND("-",A137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38" spans="1:4" x14ac:dyDescent="0.25">
      <c r="A138" s="3" t="s">
        <v>140</v>
      </c>
      <c r="B138" s="4">
        <v>99</v>
      </c>
      <c r="C138" s="3" t="str">
        <f ca="1">IFERROR(ROWSDUMMYFUNCTION(IF(A138="","",IFERROR(IMAGE(CONCATENATE("https://us.pandora.net/on/demandware.static/-/Sites-pandora-master-catalog/default/dwbb259ca6/productimages/singlepackshot/",LEFT(A138,FIND("-",A138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38" s="5" t="str">
        <f ca="1">IFERROR(ROWSDUMMYFUNCTION(IF(A138="","",CONCATENATE("https://us.pandora.net/on/demandware.static/-/Sites-pandora-master-catalog/default/dwbb259ca6/productimages/singlepackshot/",LEFT(A138,FIND("-",A138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39" spans="1:4" x14ac:dyDescent="0.25">
      <c r="A139" s="3" t="s">
        <v>141</v>
      </c>
      <c r="B139" s="4">
        <v>99</v>
      </c>
      <c r="C139" s="3" t="str">
        <f ca="1">IFERROR(ROWSDUMMYFUNCTION(IF(A139="","",IFERROR(IMAGE(CONCATENATE("https://us.pandora.net/on/demandware.static/-/Sites-pandora-master-catalog/default/dwbb259ca6/productimages/singlepackshot/",LEFT(A139,FIND("-",A139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39" s="5" t="str">
        <f ca="1">IFERROR(ROWSDUMMYFUNCTION(IF(A139="","",CONCATENATE("https://us.pandora.net/on/demandware.static/-/Sites-pandora-master-catalog/default/dwbb259ca6/productimages/singlepackshot/",LEFT(A139,FIND("-",A139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40" spans="1:4" x14ac:dyDescent="0.25">
      <c r="A140" s="3" t="s">
        <v>142</v>
      </c>
      <c r="B140" s="4">
        <v>99</v>
      </c>
      <c r="C140" s="3" t="str">
        <f ca="1">IFERROR(ROWSDUMMYFUNCTION(IF(A140="","",IFERROR(IMAGE(CONCATENATE("https://us.pandora.net/on/demandware.static/-/Sites-pandora-master-catalog/default/dwbb259ca6/productimages/singlepackshot/",LEFT(A140,FIND("-",A140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40" s="5" t="str">
        <f ca="1">IFERROR(ROWSDUMMYFUNCTION(IF(A140="","",CONCATENATE("https://us.pandora.net/on/demandware.static/-/Sites-pandora-master-catalog/default/dwbb259ca6/productimages/singlepackshot/",LEFT(A140,FIND("-",A140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41" spans="1:4" x14ac:dyDescent="0.25">
      <c r="A141" s="3" t="s">
        <v>143</v>
      </c>
      <c r="B141" s="4">
        <v>99</v>
      </c>
      <c r="C141" s="3" t="str">
        <f ca="1">IFERROR(ROWSDUMMYFUNCTION(IF(A141="","",IFERROR(IMAGE(CONCATENATE("https://us.pandora.net/on/demandware.static/-/Sites-pandora-master-catalog/default/dwbb259ca6/productimages/singlepackshot/",LEFT(A141,FIND("-",A141&amp;"-")-1),"_RGB.png")),""))),"{""url"":""https://us.pandora.net/on/demandware.static/-/Sites-pandora-master-catalog/default/dwbb259ca6/productimages/singlepackshot/163100C01_RGB.png"",""mode"":1}")</f>
        <v>{"url":"https://us.pandora.net/on/demandware.static/-/Sites-pandora-master-catalog/default/dwbb259ca6/productimages/singlepackshot/163100C01_RGB.png","mode":1}</v>
      </c>
      <c r="D141" s="5" t="str">
        <f ca="1">IFERROR(ROWSDUMMYFUNCTION(IF(A141="","",CONCATENATE("https://us.pandora.net/on/demandware.static/-/Sites-pandora-master-catalog/default/dwbb259ca6/productimages/singlepackshot/",LEFT(A141,FIND("-",A141&amp;"-")-1),"_RGB.png"))),"https://us.pandora.net/on/demandware.static/-/Sites-pandora-master-catalog/default/dwbb259ca6/productimages/singlepackshot/163100C01_RGB.png")</f>
        <v>https://us.pandora.net/on/demandware.static/-/Sites-pandora-master-catalog/default/dwbb259ca6/productimages/singlepackshot/163100C01_RGB.png</v>
      </c>
    </row>
    <row r="142" spans="1:4" x14ac:dyDescent="0.25">
      <c r="A142" s="3" t="s">
        <v>144</v>
      </c>
      <c r="B142" s="4">
        <v>119</v>
      </c>
      <c r="C142" s="3" t="str">
        <f ca="1">IFERROR(ROWSDUMMYFUNCTION(IF(A142="","",IFERROR(IMAGE(CONCATENATE("https://us.pandora.net/on/demandware.static/-/Sites-pandora-master-catalog/default/dwbb259ca6/productimages/singlepackshot/",LEFT(A142,FIND("-",A142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2" s="5" t="str">
        <f ca="1">IFERROR(ROWSDUMMYFUNCTION(IF(A142="","",CONCATENATE("https://us.pandora.net/on/demandware.static/-/Sites-pandora-master-catalog/default/dwbb259ca6/productimages/singlepackshot/",LEFT(A142,FIND("-",A142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3" spans="1:4" x14ac:dyDescent="0.25">
      <c r="A143" s="3" t="s">
        <v>145</v>
      </c>
      <c r="B143" s="4">
        <v>119</v>
      </c>
      <c r="C143" s="3" t="str">
        <f ca="1">IFERROR(ROWSDUMMYFUNCTION(IF(A143="","",IFERROR(IMAGE(CONCATENATE("https://us.pandora.net/on/demandware.static/-/Sites-pandora-master-catalog/default/dwbb259ca6/productimages/singlepackshot/",LEFT(A143,FIND("-",A143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3" s="5" t="str">
        <f ca="1">IFERROR(ROWSDUMMYFUNCTION(IF(A143="","",CONCATENATE("https://us.pandora.net/on/demandware.static/-/Sites-pandora-master-catalog/default/dwbb259ca6/productimages/singlepackshot/",LEFT(A143,FIND("-",A143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4" spans="1:4" x14ac:dyDescent="0.25">
      <c r="A144" s="3" t="s">
        <v>146</v>
      </c>
      <c r="B144" s="4">
        <v>119</v>
      </c>
      <c r="C144" s="3" t="str">
        <f ca="1">IFERROR(ROWSDUMMYFUNCTION(IF(A144="","",IFERROR(IMAGE(CONCATENATE("https://us.pandora.net/on/demandware.static/-/Sites-pandora-master-catalog/default/dwbb259ca6/productimages/singlepackshot/",LEFT(A144,FIND("-",A144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4" s="5" t="str">
        <f ca="1">IFERROR(ROWSDUMMYFUNCTION(IF(A144="","",CONCATENATE("https://us.pandora.net/on/demandware.static/-/Sites-pandora-master-catalog/default/dwbb259ca6/productimages/singlepackshot/",LEFT(A144,FIND("-",A144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5" spans="1:4" x14ac:dyDescent="0.25">
      <c r="A145" s="3" t="s">
        <v>147</v>
      </c>
      <c r="B145" s="4">
        <v>119</v>
      </c>
      <c r="C145" s="3" t="str">
        <f ca="1">IFERROR(ROWSDUMMYFUNCTION(IF(A145="","",IFERROR(IMAGE(CONCATENATE("https://us.pandora.net/on/demandware.static/-/Sites-pandora-master-catalog/default/dwbb259ca6/productimages/singlepackshot/",LEFT(A145,FIND("-",A145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5" s="5" t="str">
        <f ca="1">IFERROR(ROWSDUMMYFUNCTION(IF(A145="","",CONCATENATE("https://us.pandora.net/on/demandware.static/-/Sites-pandora-master-catalog/default/dwbb259ca6/productimages/singlepackshot/",LEFT(A145,FIND("-",A145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6" spans="1:4" x14ac:dyDescent="0.25">
      <c r="A146" s="3" t="s">
        <v>148</v>
      </c>
      <c r="B146" s="4">
        <v>119</v>
      </c>
      <c r="C146" s="3" t="str">
        <f ca="1">IFERROR(ROWSDUMMYFUNCTION(IF(A146="","",IFERROR(IMAGE(CONCATENATE("https://us.pandora.net/on/demandware.static/-/Sites-pandora-master-catalog/default/dwbb259ca6/productimages/singlepackshot/",LEFT(A146,FIND("-",A146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6" s="5" t="str">
        <f ca="1">IFERROR(ROWSDUMMYFUNCTION(IF(A146="","",CONCATENATE("https://us.pandora.net/on/demandware.static/-/Sites-pandora-master-catalog/default/dwbb259ca6/productimages/singlepackshot/",LEFT(A146,FIND("-",A146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7" spans="1:4" x14ac:dyDescent="0.25">
      <c r="A147" s="3" t="s">
        <v>149</v>
      </c>
      <c r="B147" s="4">
        <v>119</v>
      </c>
      <c r="C147" s="3" t="str">
        <f ca="1">IFERROR(ROWSDUMMYFUNCTION(IF(A147="","",IFERROR(IMAGE(CONCATENATE("https://us.pandora.net/on/demandware.static/-/Sites-pandora-master-catalog/default/dwbb259ca6/productimages/singlepackshot/",LEFT(A147,FIND("-",A147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7" s="5" t="str">
        <f ca="1">IFERROR(ROWSDUMMYFUNCTION(IF(A147="","",CONCATENATE("https://us.pandora.net/on/demandware.static/-/Sites-pandora-master-catalog/default/dwbb259ca6/productimages/singlepackshot/",LEFT(A147,FIND("-",A147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8" spans="1:4" x14ac:dyDescent="0.25">
      <c r="A148" s="3" t="s">
        <v>150</v>
      </c>
      <c r="B148" s="4">
        <v>119</v>
      </c>
      <c r="C148" s="3" t="str">
        <f ca="1">IFERROR(ROWSDUMMYFUNCTION(IF(A148="","",IFERROR(IMAGE(CONCATENATE("https://us.pandora.net/on/demandware.static/-/Sites-pandora-master-catalog/default/dwbb259ca6/productimages/singlepackshot/",LEFT(A148,FIND("-",A148&amp;"-")-1),"_RGB.png")),""))),"{""url"":""https://us.pandora.net/on/demandware.static/-/Sites-pandora-master-catalog/default/dwbb259ca6/productimages/singlepackshot/163103C01_RGB.png"",""mode"":1}")</f>
        <v>{"url":"https://us.pandora.net/on/demandware.static/-/Sites-pandora-master-catalog/default/dwbb259ca6/productimages/singlepackshot/163103C01_RGB.png","mode":1}</v>
      </c>
      <c r="D148" s="5" t="str">
        <f ca="1">IFERROR(ROWSDUMMYFUNCTION(IF(A148="","",CONCATENATE("https://us.pandora.net/on/demandware.static/-/Sites-pandora-master-catalog/default/dwbb259ca6/productimages/singlepackshot/",LEFT(A148,FIND("-",A148&amp;"-")-1),"_RGB.png"))),"https://us.pandora.net/on/demandware.static/-/Sites-pandora-master-catalog/default/dwbb259ca6/productimages/singlepackshot/163103C01_RGB.png")</f>
        <v>https://us.pandora.net/on/demandware.static/-/Sites-pandora-master-catalog/default/dwbb259ca6/productimages/singlepackshot/163103C01_RGB.png</v>
      </c>
    </row>
    <row r="149" spans="1:4" x14ac:dyDescent="0.25">
      <c r="A149" s="3" t="s">
        <v>151</v>
      </c>
      <c r="B149" s="4">
        <v>149</v>
      </c>
      <c r="C149" s="3" t="str">
        <f ca="1">IFERROR(ROWSDUMMYFUNCTION(IF(A149="","",IFERROR(IMAGE(CONCATENATE("https://us.pandora.net/on/demandware.static/-/Sites-pandora-master-catalog/default/dwbb259ca6/productimages/singlepackshot/",LEFT(A149,FIND("-",A149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49" s="5" t="str">
        <f ca="1">IFERROR(ROWSDUMMYFUNCTION(IF(A149="","",CONCATENATE("https://us.pandora.net/on/demandware.static/-/Sites-pandora-master-catalog/default/dwbb259ca6/productimages/singlepackshot/",LEFT(A149,FIND("-",A149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0" spans="1:4" x14ac:dyDescent="0.25">
      <c r="A150" s="3" t="s">
        <v>152</v>
      </c>
      <c r="B150" s="4">
        <v>149</v>
      </c>
      <c r="C150" s="3" t="str">
        <f ca="1">IFERROR(ROWSDUMMYFUNCTION(IF(A150="","",IFERROR(IMAGE(CONCATENATE("https://us.pandora.net/on/demandware.static/-/Sites-pandora-master-catalog/default/dwbb259ca6/productimages/singlepackshot/",LEFT(A150,FIND("-",A150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50" s="5" t="str">
        <f ca="1">IFERROR(ROWSDUMMYFUNCTION(IF(A150="","",CONCATENATE("https://us.pandora.net/on/demandware.static/-/Sites-pandora-master-catalog/default/dwbb259ca6/productimages/singlepackshot/",LEFT(A150,FIND("-",A150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1" spans="1:4" x14ac:dyDescent="0.25">
      <c r="A151" s="3" t="s">
        <v>153</v>
      </c>
      <c r="B151" s="4">
        <v>149</v>
      </c>
      <c r="C151" s="3" t="str">
        <f ca="1">IFERROR(ROWSDUMMYFUNCTION(IF(A151="","",IFERROR(IMAGE(CONCATENATE("https://us.pandora.net/on/demandware.static/-/Sites-pandora-master-catalog/default/dwbb259ca6/productimages/singlepackshot/",LEFT(A151,FIND("-",A151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51" s="5" t="str">
        <f ca="1">IFERROR(ROWSDUMMYFUNCTION(IF(A151="","",CONCATENATE("https://us.pandora.net/on/demandware.static/-/Sites-pandora-master-catalog/default/dwbb259ca6/productimages/singlepackshot/",LEFT(A151,FIND("-",A151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2" spans="1:4" x14ac:dyDescent="0.25">
      <c r="A152" s="3" t="s">
        <v>154</v>
      </c>
      <c r="B152" s="4">
        <v>149</v>
      </c>
      <c r="C152" s="3" t="str">
        <f ca="1">IFERROR(ROWSDUMMYFUNCTION(IF(A152="","",IFERROR(IMAGE(CONCATENATE("https://us.pandora.net/on/demandware.static/-/Sites-pandora-master-catalog/default/dwbb259ca6/productimages/singlepackshot/",LEFT(A152,FIND("-",A152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52" s="5" t="str">
        <f ca="1">IFERROR(ROWSDUMMYFUNCTION(IF(A152="","",CONCATENATE("https://us.pandora.net/on/demandware.static/-/Sites-pandora-master-catalog/default/dwbb259ca6/productimages/singlepackshot/",LEFT(A152,FIND("-",A152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3" spans="1:4" x14ac:dyDescent="0.25">
      <c r="A153" s="3" t="s">
        <v>155</v>
      </c>
      <c r="B153" s="4">
        <v>149</v>
      </c>
      <c r="C153" s="3" t="str">
        <f ca="1">IFERROR(ROWSDUMMYFUNCTION(IF(A153="","",IFERROR(IMAGE(CONCATENATE("https://us.pandora.net/on/demandware.static/-/Sites-pandora-master-catalog/default/dwbb259ca6/productimages/singlepackshot/",LEFT(A153,FIND("-",A153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53" s="5" t="str">
        <f ca="1">IFERROR(ROWSDUMMYFUNCTION(IF(A153="","",CONCATENATE("https://us.pandora.net/on/demandware.static/-/Sites-pandora-master-catalog/default/dwbb259ca6/productimages/singlepackshot/",LEFT(A153,FIND("-",A153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4" spans="1:4" x14ac:dyDescent="0.25">
      <c r="A154" s="3" t="s">
        <v>156</v>
      </c>
      <c r="B154" s="4">
        <v>149</v>
      </c>
      <c r="C154" s="3" t="str">
        <f ca="1">IFERROR(ROWSDUMMYFUNCTION(IF(A154="","",IFERROR(IMAGE(CONCATENATE("https://us.pandora.net/on/demandware.static/-/Sites-pandora-master-catalog/default/dwbb259ca6/productimages/singlepackshot/",LEFT(A154,FIND("-",A154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54" s="5" t="str">
        <f ca="1">IFERROR(ROWSDUMMYFUNCTION(IF(A154="","",CONCATENATE("https://us.pandora.net/on/demandware.static/-/Sites-pandora-master-catalog/default/dwbb259ca6/productimages/singlepackshot/",LEFT(A154,FIND("-",A154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5" spans="1:4" x14ac:dyDescent="0.25">
      <c r="A155" s="3" t="s">
        <v>157</v>
      </c>
      <c r="B155" s="4">
        <v>149</v>
      </c>
      <c r="C155" s="3" t="str">
        <f ca="1">IFERROR(ROWSDUMMYFUNCTION(IF(A155="","",IFERROR(IMAGE(CONCATENATE("https://us.pandora.net/on/demandware.static/-/Sites-pandora-master-catalog/default/dwbb259ca6/productimages/singlepackshot/",LEFT(A155,FIND("-",A155&amp;"-")-1),"_RGB.png")),""))),"{""url"":""https://us.pandora.net/on/demandware.static/-/Sites-pandora-master-catalog/default/dwbb259ca6/productimages/singlepackshot/163146C01_RGB.png"",""mode"":1}")</f>
        <v>{"url":"https://us.pandora.net/on/demandware.static/-/Sites-pandora-master-catalog/default/dwbb259ca6/productimages/singlepackshot/163146C01_RGB.png","mode":1}</v>
      </c>
      <c r="D155" s="5" t="str">
        <f ca="1">IFERROR(ROWSDUMMYFUNCTION(IF(A155="","",CONCATENATE("https://us.pandora.net/on/demandware.static/-/Sites-pandora-master-catalog/default/dwbb259ca6/productimages/singlepackshot/",LEFT(A155,FIND("-",A155&amp;"-")-1),"_RGB.png"))),"https://us.pandora.net/on/demandware.static/-/Sites-pandora-master-catalog/default/dwbb259ca6/productimages/singlepackshot/163146C01_RGB.png")</f>
        <v>https://us.pandora.net/on/demandware.static/-/Sites-pandora-master-catalog/default/dwbb259ca6/productimages/singlepackshot/163146C01_RGB.png</v>
      </c>
    </row>
    <row r="156" spans="1:4" x14ac:dyDescent="0.25">
      <c r="A156" s="3" t="s">
        <v>158</v>
      </c>
      <c r="B156" s="4">
        <v>99</v>
      </c>
      <c r="C156" s="3" t="str">
        <f ca="1">IFERROR(ROWSDUMMYFUNCTION(IF(A156="","",IFERROR(IMAGE(CONCATENATE("https://us.pandora.net/on/demandware.static/-/Sites-pandora-master-catalog/default/dwbb259ca6/productimages/singlepackshot/",LEFT(A156,FIND("-",A156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56" s="5" t="str">
        <f ca="1">IFERROR(ROWSDUMMYFUNCTION(IF(A156="","",CONCATENATE("https://us.pandora.net/on/demandware.static/-/Sites-pandora-master-catalog/default/dwbb259ca6/productimages/singlepackshot/",LEFT(A156,FIND("-",A156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57" spans="1:4" x14ac:dyDescent="0.25">
      <c r="A157" s="3" t="s">
        <v>159</v>
      </c>
      <c r="B157" s="4">
        <v>99</v>
      </c>
      <c r="C157" s="3" t="str">
        <f ca="1">IFERROR(ROWSDUMMYFUNCTION(IF(A157="","",IFERROR(IMAGE(CONCATENATE("https://us.pandora.net/on/demandware.static/-/Sites-pandora-master-catalog/default/dwbb259ca6/productimages/singlepackshot/",LEFT(A157,FIND("-",A157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57" s="5" t="str">
        <f ca="1">IFERROR(ROWSDUMMYFUNCTION(IF(A157="","",CONCATENATE("https://us.pandora.net/on/demandware.static/-/Sites-pandora-master-catalog/default/dwbb259ca6/productimages/singlepackshot/",LEFT(A157,FIND("-",A157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58" spans="1:4" x14ac:dyDescent="0.25">
      <c r="A158" s="3" t="s">
        <v>160</v>
      </c>
      <c r="B158" s="4">
        <v>99</v>
      </c>
      <c r="C158" s="3" t="str">
        <f ca="1">IFERROR(ROWSDUMMYFUNCTION(IF(A158="","",IFERROR(IMAGE(CONCATENATE("https://us.pandora.net/on/demandware.static/-/Sites-pandora-master-catalog/default/dwbb259ca6/productimages/singlepackshot/",LEFT(A158,FIND("-",A158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58" s="5" t="str">
        <f ca="1">IFERROR(ROWSDUMMYFUNCTION(IF(A158="","",CONCATENATE("https://us.pandora.net/on/demandware.static/-/Sites-pandora-master-catalog/default/dwbb259ca6/productimages/singlepackshot/",LEFT(A158,FIND("-",A158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59" spans="1:4" x14ac:dyDescent="0.25">
      <c r="A159" s="3" t="s">
        <v>161</v>
      </c>
      <c r="B159" s="4">
        <v>99</v>
      </c>
      <c r="C159" s="3" t="str">
        <f ca="1">IFERROR(ROWSDUMMYFUNCTION(IF(A159="","",IFERROR(IMAGE(CONCATENATE("https://us.pandora.net/on/demandware.static/-/Sites-pandora-master-catalog/default/dwbb259ca6/productimages/singlepackshot/",LEFT(A159,FIND("-",A159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59" s="5" t="str">
        <f ca="1">IFERROR(ROWSDUMMYFUNCTION(IF(A159="","",CONCATENATE("https://us.pandora.net/on/demandware.static/-/Sites-pandora-master-catalog/default/dwbb259ca6/productimages/singlepackshot/",LEFT(A159,FIND("-",A159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60" spans="1:4" x14ac:dyDescent="0.25">
      <c r="A160" s="3" t="s">
        <v>162</v>
      </c>
      <c r="B160" s="4">
        <v>99</v>
      </c>
      <c r="C160" s="3" t="str">
        <f ca="1">IFERROR(ROWSDUMMYFUNCTION(IF(A160="","",IFERROR(IMAGE(CONCATENATE("https://us.pandora.net/on/demandware.static/-/Sites-pandora-master-catalog/default/dwbb259ca6/productimages/singlepackshot/",LEFT(A160,FIND("-",A160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60" s="5" t="str">
        <f ca="1">IFERROR(ROWSDUMMYFUNCTION(IF(A160="","",CONCATENATE("https://us.pandora.net/on/demandware.static/-/Sites-pandora-master-catalog/default/dwbb259ca6/productimages/singlepackshot/",LEFT(A160,FIND("-",A160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61" spans="1:4" x14ac:dyDescent="0.25">
      <c r="A161" s="3" t="s">
        <v>163</v>
      </c>
      <c r="B161" s="4">
        <v>99</v>
      </c>
      <c r="C161" s="3" t="str">
        <f ca="1">IFERROR(ROWSDUMMYFUNCTION(IF(A161="","",IFERROR(IMAGE(CONCATENATE("https://us.pandora.net/on/demandware.static/-/Sites-pandora-master-catalog/default/dwbb259ca6/productimages/singlepackshot/",LEFT(A161,FIND("-",A161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61" s="5" t="str">
        <f ca="1">IFERROR(ROWSDUMMYFUNCTION(IF(A161="","",CONCATENATE("https://us.pandora.net/on/demandware.static/-/Sites-pandora-master-catalog/default/dwbb259ca6/productimages/singlepackshot/",LEFT(A161,FIND("-",A161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62" spans="1:4" x14ac:dyDescent="0.25">
      <c r="A162" s="3" t="s">
        <v>164</v>
      </c>
      <c r="B162" s="4">
        <v>99</v>
      </c>
      <c r="C162" s="3" t="str">
        <f ca="1">IFERROR(ROWSDUMMYFUNCTION(IF(A162="","",IFERROR(IMAGE(CONCATENATE("https://us.pandora.net/on/demandware.static/-/Sites-pandora-master-catalog/default/dwbb259ca6/productimages/singlepackshot/",LEFT(A162,FIND("-",A162&amp;"-")-1),"_RGB.png")),""))),"{""url"":""https://us.pandora.net/on/demandware.static/-/Sites-pandora-master-catalog/default/dwbb259ca6/productimages/singlepackshot/163156C01_RGB.png"",""mode"":1}")</f>
        <v>{"url":"https://us.pandora.net/on/demandware.static/-/Sites-pandora-master-catalog/default/dwbb259ca6/productimages/singlepackshot/163156C01_RGB.png","mode":1}</v>
      </c>
      <c r="D162" s="5" t="str">
        <f ca="1">IFERROR(ROWSDUMMYFUNCTION(IF(A162="","",CONCATENATE("https://us.pandora.net/on/demandware.static/-/Sites-pandora-master-catalog/default/dwbb259ca6/productimages/singlepackshot/",LEFT(A162,FIND("-",A162&amp;"-")-1),"_RGB.png"))),"https://us.pandora.net/on/demandware.static/-/Sites-pandora-master-catalog/default/dwbb259ca6/productimages/singlepackshot/163156C01_RGB.png")</f>
        <v>https://us.pandora.net/on/demandware.static/-/Sites-pandora-master-catalog/default/dwbb259ca6/productimages/singlepackshot/163156C01_RGB.png</v>
      </c>
    </row>
    <row r="163" spans="1:4" x14ac:dyDescent="0.25">
      <c r="A163" s="3" t="s">
        <v>165</v>
      </c>
      <c r="B163" s="4">
        <v>99</v>
      </c>
      <c r="C163" s="3" t="str">
        <f ca="1">IFERROR(ROWSDUMMYFUNCTION(IF(A163="","",IFERROR(IMAGE(CONCATENATE("https://us.pandora.net/on/demandware.static/-/Sites-pandora-master-catalog/default/dwbb259ca6/productimages/singlepackshot/",LEFT(A163,FIND("-",A163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3" s="5" t="str">
        <f ca="1">IFERROR(ROWSDUMMYFUNCTION(IF(A163="","",CONCATENATE("https://us.pandora.net/on/demandware.static/-/Sites-pandora-master-catalog/default/dwbb259ca6/productimages/singlepackshot/",LEFT(A163,FIND("-",A163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64" spans="1:4" x14ac:dyDescent="0.25">
      <c r="A164" s="3" t="s">
        <v>166</v>
      </c>
      <c r="B164" s="4">
        <v>99</v>
      </c>
      <c r="C164" s="3" t="str">
        <f ca="1">IFERROR(ROWSDUMMYFUNCTION(IF(A164="","",IFERROR(IMAGE(CONCATENATE("https://us.pandora.net/on/demandware.static/-/Sites-pandora-master-catalog/default/dwbb259ca6/productimages/singlepackshot/",LEFT(A164,FIND("-",A164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4" s="5" t="str">
        <f ca="1">IFERROR(ROWSDUMMYFUNCTION(IF(A164="","",CONCATENATE("https://us.pandora.net/on/demandware.static/-/Sites-pandora-master-catalog/default/dwbb259ca6/productimages/singlepackshot/",LEFT(A164,FIND("-",A164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65" spans="1:4" x14ac:dyDescent="0.25">
      <c r="A165" s="3" t="s">
        <v>167</v>
      </c>
      <c r="B165" s="4">
        <v>99</v>
      </c>
      <c r="C165" s="3" t="str">
        <f ca="1">IFERROR(ROWSDUMMYFUNCTION(IF(A165="","",IFERROR(IMAGE(CONCATENATE("https://us.pandora.net/on/demandware.static/-/Sites-pandora-master-catalog/default/dwbb259ca6/productimages/singlepackshot/",LEFT(A165,FIND("-",A165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5" s="5" t="str">
        <f ca="1">IFERROR(ROWSDUMMYFUNCTION(IF(A165="","",CONCATENATE("https://us.pandora.net/on/demandware.static/-/Sites-pandora-master-catalog/default/dwbb259ca6/productimages/singlepackshot/",LEFT(A165,FIND("-",A165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66" spans="1:4" x14ac:dyDescent="0.25">
      <c r="A166" s="3" t="s">
        <v>168</v>
      </c>
      <c r="B166" s="4">
        <v>99</v>
      </c>
      <c r="C166" s="3" t="str">
        <f ca="1">IFERROR(ROWSDUMMYFUNCTION(IF(A166="","",IFERROR(IMAGE(CONCATENATE("https://us.pandora.net/on/demandware.static/-/Sites-pandora-master-catalog/default/dwbb259ca6/productimages/singlepackshot/",LEFT(A166,FIND("-",A166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6" s="5" t="str">
        <f ca="1">IFERROR(ROWSDUMMYFUNCTION(IF(A166="","",CONCATENATE("https://us.pandora.net/on/demandware.static/-/Sites-pandora-master-catalog/default/dwbb259ca6/productimages/singlepackshot/",LEFT(A166,FIND("-",A166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67" spans="1:4" x14ac:dyDescent="0.25">
      <c r="A167" s="3" t="s">
        <v>169</v>
      </c>
      <c r="B167" s="4">
        <v>99</v>
      </c>
      <c r="C167" s="3" t="str">
        <f ca="1">IFERROR(ROWSDUMMYFUNCTION(IF(A167="","",IFERROR(IMAGE(CONCATENATE("https://us.pandora.net/on/demandware.static/-/Sites-pandora-master-catalog/default/dwbb259ca6/productimages/singlepackshot/",LEFT(A167,FIND("-",A167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7" s="5" t="str">
        <f ca="1">IFERROR(ROWSDUMMYFUNCTION(IF(A167="","",CONCATENATE("https://us.pandora.net/on/demandware.static/-/Sites-pandora-master-catalog/default/dwbb259ca6/productimages/singlepackshot/",LEFT(A167,FIND("-",A167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68" spans="1:4" x14ac:dyDescent="0.25">
      <c r="A168" s="3" t="s">
        <v>170</v>
      </c>
      <c r="B168" s="4">
        <v>99</v>
      </c>
      <c r="C168" s="3" t="str">
        <f ca="1">IFERROR(ROWSDUMMYFUNCTION(IF(A168="","",IFERROR(IMAGE(CONCATENATE("https://us.pandora.net/on/demandware.static/-/Sites-pandora-master-catalog/default/dwbb259ca6/productimages/singlepackshot/",LEFT(A168,FIND("-",A168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8" s="5" t="str">
        <f ca="1">IFERROR(ROWSDUMMYFUNCTION(IF(A168="","",CONCATENATE("https://us.pandora.net/on/demandware.static/-/Sites-pandora-master-catalog/default/dwbb259ca6/productimages/singlepackshot/",LEFT(A168,FIND("-",A168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69" spans="1:4" x14ac:dyDescent="0.25">
      <c r="A169" s="3" t="s">
        <v>171</v>
      </c>
      <c r="B169" s="4">
        <v>99</v>
      </c>
      <c r="C169" s="3" t="str">
        <f ca="1">IFERROR(ROWSDUMMYFUNCTION(IF(A169="","",IFERROR(IMAGE(CONCATENATE("https://us.pandora.net/on/demandware.static/-/Sites-pandora-master-catalog/default/dwbb259ca6/productimages/singlepackshot/",LEFT(A169,FIND("-",A169&amp;"-")-1),"_RGB.png")),""))),"{""url"":""https://us.pandora.net/on/demandware.static/-/Sites-pandora-master-catalog/default/dwbb259ca6/productimages/singlepackshot/163157C01_RGB.png"",""mode"":1}")</f>
        <v>{"url":"https://us.pandora.net/on/demandware.static/-/Sites-pandora-master-catalog/default/dwbb259ca6/productimages/singlepackshot/163157C01_RGB.png","mode":1}</v>
      </c>
      <c r="D169" s="5" t="str">
        <f ca="1">IFERROR(ROWSDUMMYFUNCTION(IF(A169="","",CONCATENATE("https://us.pandora.net/on/demandware.static/-/Sites-pandora-master-catalog/default/dwbb259ca6/productimages/singlepackshot/",LEFT(A169,FIND("-",A169&amp;"-")-1),"_RGB.png"))),"https://us.pandora.net/on/demandware.static/-/Sites-pandora-master-catalog/default/dwbb259ca6/productimages/singlepackshot/163157C01_RGB.png")</f>
        <v>https://us.pandora.net/on/demandware.static/-/Sites-pandora-master-catalog/default/dwbb259ca6/productimages/singlepackshot/163157C01_RGB.png</v>
      </c>
    </row>
    <row r="170" spans="1:4" x14ac:dyDescent="0.25">
      <c r="A170" s="3" t="s">
        <v>172</v>
      </c>
      <c r="B170" s="4">
        <v>129</v>
      </c>
      <c r="C170" s="3" t="str">
        <f ca="1">IFERROR(ROWSDUMMYFUNCTION(IF(A170="","",IFERROR(IMAGE(CONCATENATE("https://us.pandora.net/on/demandware.static/-/Sites-pandora-master-catalog/default/dwbb259ca6/productimages/singlepackshot/",LEFT(A170,FIND("-",A170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0" s="5" t="str">
        <f ca="1">IFERROR(ROWSDUMMYFUNCTION(IF(A170="","",CONCATENATE("https://us.pandora.net/on/demandware.static/-/Sites-pandora-master-catalog/default/dwbb259ca6/productimages/singlepackshot/",LEFT(A170,FIND("-",A170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1" spans="1:4" x14ac:dyDescent="0.25">
      <c r="A171" s="3" t="s">
        <v>173</v>
      </c>
      <c r="B171" s="4">
        <v>129</v>
      </c>
      <c r="C171" s="3" t="str">
        <f ca="1">IFERROR(ROWSDUMMYFUNCTION(IF(A171="","",IFERROR(IMAGE(CONCATENATE("https://us.pandora.net/on/demandware.static/-/Sites-pandora-master-catalog/default/dwbb259ca6/productimages/singlepackshot/",LEFT(A171,FIND("-",A171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1" s="5" t="str">
        <f ca="1">IFERROR(ROWSDUMMYFUNCTION(IF(A171="","",CONCATENATE("https://us.pandora.net/on/demandware.static/-/Sites-pandora-master-catalog/default/dwbb259ca6/productimages/singlepackshot/",LEFT(A171,FIND("-",A171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2" spans="1:4" x14ac:dyDescent="0.25">
      <c r="A172" s="3" t="s">
        <v>174</v>
      </c>
      <c r="B172" s="4">
        <v>129</v>
      </c>
      <c r="C172" s="3" t="str">
        <f ca="1">IFERROR(ROWSDUMMYFUNCTION(IF(A172="","",IFERROR(IMAGE(CONCATENATE("https://us.pandora.net/on/demandware.static/-/Sites-pandora-master-catalog/default/dwbb259ca6/productimages/singlepackshot/",LEFT(A172,FIND("-",A172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2" s="5" t="str">
        <f ca="1">IFERROR(ROWSDUMMYFUNCTION(IF(A172="","",CONCATENATE("https://us.pandora.net/on/demandware.static/-/Sites-pandora-master-catalog/default/dwbb259ca6/productimages/singlepackshot/",LEFT(A172,FIND("-",A172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3" spans="1:4" x14ac:dyDescent="0.25">
      <c r="A173" s="3" t="s">
        <v>175</v>
      </c>
      <c r="B173" s="4">
        <v>129</v>
      </c>
      <c r="C173" s="3" t="str">
        <f ca="1">IFERROR(ROWSDUMMYFUNCTION(IF(A173="","",IFERROR(IMAGE(CONCATENATE("https://us.pandora.net/on/demandware.static/-/Sites-pandora-master-catalog/default/dwbb259ca6/productimages/singlepackshot/",LEFT(A173,FIND("-",A173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3" s="5" t="str">
        <f ca="1">IFERROR(ROWSDUMMYFUNCTION(IF(A173="","",CONCATENATE("https://us.pandora.net/on/demandware.static/-/Sites-pandora-master-catalog/default/dwbb259ca6/productimages/singlepackshot/",LEFT(A173,FIND("-",A173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4" spans="1:4" x14ac:dyDescent="0.25">
      <c r="A174" s="3" t="s">
        <v>176</v>
      </c>
      <c r="B174" s="4">
        <v>129</v>
      </c>
      <c r="C174" s="3" t="str">
        <f ca="1">IFERROR(ROWSDUMMYFUNCTION(IF(A174="","",IFERROR(IMAGE(CONCATENATE("https://us.pandora.net/on/demandware.static/-/Sites-pandora-master-catalog/default/dwbb259ca6/productimages/singlepackshot/",LEFT(A174,FIND("-",A174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4" s="5" t="str">
        <f ca="1">IFERROR(ROWSDUMMYFUNCTION(IF(A174="","",CONCATENATE("https://us.pandora.net/on/demandware.static/-/Sites-pandora-master-catalog/default/dwbb259ca6/productimages/singlepackshot/",LEFT(A174,FIND("-",A174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5" spans="1:4" x14ac:dyDescent="0.25">
      <c r="A175" s="3" t="s">
        <v>177</v>
      </c>
      <c r="B175" s="4">
        <v>129</v>
      </c>
      <c r="C175" s="3" t="str">
        <f ca="1">IFERROR(ROWSDUMMYFUNCTION(IF(A175="","",IFERROR(IMAGE(CONCATENATE("https://us.pandora.net/on/demandware.static/-/Sites-pandora-master-catalog/default/dwbb259ca6/productimages/singlepackshot/",LEFT(A175,FIND("-",A175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5" s="5" t="str">
        <f ca="1">IFERROR(ROWSDUMMYFUNCTION(IF(A175="","",CONCATENATE("https://us.pandora.net/on/demandware.static/-/Sites-pandora-master-catalog/default/dwbb259ca6/productimages/singlepackshot/",LEFT(A175,FIND("-",A175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6" spans="1:4" x14ac:dyDescent="0.25">
      <c r="A176" s="3" t="s">
        <v>178</v>
      </c>
      <c r="B176" s="4">
        <v>129</v>
      </c>
      <c r="C176" s="3" t="str">
        <f ca="1">IFERROR(ROWSDUMMYFUNCTION(IF(A176="","",IFERROR(IMAGE(CONCATENATE("https://us.pandora.net/on/demandware.static/-/Sites-pandora-master-catalog/default/dwbb259ca6/productimages/singlepackshot/",LEFT(A176,FIND("-",A176&amp;"-")-1),"_RGB.png")),""))),"{""url"":""https://us.pandora.net/on/demandware.static/-/Sites-pandora-master-catalog/default/dwbb259ca6/productimages/singlepackshot/163258C01_RGB.png"",""mode"":1}")</f>
        <v>{"url":"https://us.pandora.net/on/demandware.static/-/Sites-pandora-master-catalog/default/dwbb259ca6/productimages/singlepackshot/163258C01_RGB.png","mode":1}</v>
      </c>
      <c r="D176" s="5" t="str">
        <f ca="1">IFERROR(ROWSDUMMYFUNCTION(IF(A176="","",CONCATENATE("https://us.pandora.net/on/demandware.static/-/Sites-pandora-master-catalog/default/dwbb259ca6/productimages/singlepackshot/",LEFT(A176,FIND("-",A176&amp;"-")-1),"_RGB.png"))),"https://us.pandora.net/on/demandware.static/-/Sites-pandora-master-catalog/default/dwbb259ca6/productimages/singlepackshot/163258C01_RGB.png")</f>
        <v>https://us.pandora.net/on/demandware.static/-/Sites-pandora-master-catalog/default/dwbb259ca6/productimages/singlepackshot/163258C01_RGB.png</v>
      </c>
    </row>
    <row r="177" spans="1:4" x14ac:dyDescent="0.25">
      <c r="A177" s="3" t="s">
        <v>179</v>
      </c>
      <c r="B177" s="4">
        <v>99</v>
      </c>
      <c r="C177" s="3" t="str">
        <f ca="1">IFERROR(ROWSDUMMYFUNCTION(IF(A177="","",IFERROR(IMAGE(CONCATENATE("https://us.pandora.net/on/demandware.static/-/Sites-pandora-master-catalog/default/dwbb259ca6/productimages/singlepackshot/",LEFT(A177,FIND("-",A177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77" s="5" t="str">
        <f ca="1">IFERROR(ROWSDUMMYFUNCTION(IF(A177="","",CONCATENATE("https://us.pandora.net/on/demandware.static/-/Sites-pandora-master-catalog/default/dwbb259ca6/productimages/singlepackshot/",LEFT(A177,FIND("-",A177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78" spans="1:4" x14ac:dyDescent="0.25">
      <c r="A178" s="3" t="s">
        <v>180</v>
      </c>
      <c r="B178" s="4">
        <v>99</v>
      </c>
      <c r="C178" s="3" t="str">
        <f ca="1">IFERROR(ROWSDUMMYFUNCTION(IF(A178="","",IFERROR(IMAGE(CONCATENATE("https://us.pandora.net/on/demandware.static/-/Sites-pandora-master-catalog/default/dwbb259ca6/productimages/singlepackshot/",LEFT(A178,FIND("-",A178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78" s="5" t="str">
        <f ca="1">IFERROR(ROWSDUMMYFUNCTION(IF(A178="","",CONCATENATE("https://us.pandora.net/on/demandware.static/-/Sites-pandora-master-catalog/default/dwbb259ca6/productimages/singlepackshot/",LEFT(A178,FIND("-",A178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79" spans="1:4" x14ac:dyDescent="0.25">
      <c r="A179" s="3" t="s">
        <v>181</v>
      </c>
      <c r="B179" s="4">
        <v>99</v>
      </c>
      <c r="C179" s="3" t="str">
        <f ca="1">IFERROR(ROWSDUMMYFUNCTION(IF(A179="","",IFERROR(IMAGE(CONCATENATE("https://us.pandora.net/on/demandware.static/-/Sites-pandora-master-catalog/default/dwbb259ca6/productimages/singlepackshot/",LEFT(A179,FIND("-",A179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79" s="5" t="str">
        <f ca="1">IFERROR(ROWSDUMMYFUNCTION(IF(A179="","",CONCATENATE("https://us.pandora.net/on/demandware.static/-/Sites-pandora-master-catalog/default/dwbb259ca6/productimages/singlepackshot/",LEFT(A179,FIND("-",A179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80" spans="1:4" x14ac:dyDescent="0.25">
      <c r="A180" s="3" t="s">
        <v>182</v>
      </c>
      <c r="B180" s="4">
        <v>99</v>
      </c>
      <c r="C180" s="3" t="str">
        <f ca="1">IFERROR(ROWSDUMMYFUNCTION(IF(A180="","",IFERROR(IMAGE(CONCATENATE("https://us.pandora.net/on/demandware.static/-/Sites-pandora-master-catalog/default/dwbb259ca6/productimages/singlepackshot/",LEFT(A180,FIND("-",A180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80" s="5" t="str">
        <f ca="1">IFERROR(ROWSDUMMYFUNCTION(IF(A180="","",CONCATENATE("https://us.pandora.net/on/demandware.static/-/Sites-pandora-master-catalog/default/dwbb259ca6/productimages/singlepackshot/",LEFT(A180,FIND("-",A180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81" spans="1:4" x14ac:dyDescent="0.25">
      <c r="A181" s="3" t="s">
        <v>183</v>
      </c>
      <c r="B181" s="4">
        <v>99</v>
      </c>
      <c r="C181" s="3" t="str">
        <f ca="1">IFERROR(ROWSDUMMYFUNCTION(IF(A181="","",IFERROR(IMAGE(CONCATENATE("https://us.pandora.net/on/demandware.static/-/Sites-pandora-master-catalog/default/dwbb259ca6/productimages/singlepackshot/",LEFT(A181,FIND("-",A181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81" s="5" t="str">
        <f ca="1">IFERROR(ROWSDUMMYFUNCTION(IF(A181="","",CONCATENATE("https://us.pandora.net/on/demandware.static/-/Sites-pandora-master-catalog/default/dwbb259ca6/productimages/singlepackshot/",LEFT(A181,FIND("-",A181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82" spans="1:4" x14ac:dyDescent="0.25">
      <c r="A182" s="3" t="s">
        <v>184</v>
      </c>
      <c r="B182" s="4">
        <v>99</v>
      </c>
      <c r="C182" s="3" t="str">
        <f ca="1">IFERROR(ROWSDUMMYFUNCTION(IF(A182="","",IFERROR(IMAGE(CONCATENATE("https://us.pandora.net/on/demandware.static/-/Sites-pandora-master-catalog/default/dwbb259ca6/productimages/singlepackshot/",LEFT(A182,FIND("-",A182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82" s="5" t="str">
        <f ca="1">IFERROR(ROWSDUMMYFUNCTION(IF(A182="","",CONCATENATE("https://us.pandora.net/on/demandware.static/-/Sites-pandora-master-catalog/default/dwbb259ca6/productimages/singlepackshot/",LEFT(A182,FIND("-",A182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83" spans="1:4" x14ac:dyDescent="0.25">
      <c r="A183" s="3" t="s">
        <v>185</v>
      </c>
      <c r="B183" s="4">
        <v>99</v>
      </c>
      <c r="C183" s="3" t="str">
        <f ca="1">IFERROR(ROWSDUMMYFUNCTION(IF(A183="","",IFERROR(IMAGE(CONCATENATE("https://us.pandora.net/on/demandware.static/-/Sites-pandora-master-catalog/default/dwbb259ca6/productimages/singlepackshot/",LEFT(A183,FIND("-",A183&amp;"-")-1),"_RGB.png")),""))),"{""url"":""https://us.pandora.net/on/demandware.static/-/Sites-pandora-master-catalog/default/dwbb259ca6/productimages/singlepackshot/163262C00_RGB.png"",""mode"":1}")</f>
        <v>{"url":"https://us.pandora.net/on/demandware.static/-/Sites-pandora-master-catalog/default/dwbb259ca6/productimages/singlepackshot/163262C00_RGB.png","mode":1}</v>
      </c>
      <c r="D183" s="5" t="str">
        <f ca="1">IFERROR(ROWSDUMMYFUNCTION(IF(A183="","",CONCATENATE("https://us.pandora.net/on/demandware.static/-/Sites-pandora-master-catalog/default/dwbb259ca6/productimages/singlepackshot/",LEFT(A183,FIND("-",A183&amp;"-")-1),"_RGB.png"))),"https://us.pandora.net/on/demandware.static/-/Sites-pandora-master-catalog/default/dwbb259ca6/productimages/singlepackshot/163262C00_RGB.png")</f>
        <v>https://us.pandora.net/on/demandware.static/-/Sites-pandora-master-catalog/default/dwbb259ca6/productimages/singlepackshot/163262C00_RGB.png</v>
      </c>
    </row>
    <row r="184" spans="1:4" x14ac:dyDescent="0.25">
      <c r="A184" s="3" t="s">
        <v>186</v>
      </c>
      <c r="B184" s="4">
        <v>129</v>
      </c>
      <c r="C184" s="3" t="str">
        <f ca="1">IFERROR(ROWSDUMMYFUNCTION(IF(A184="","",IFERROR(IMAGE(CONCATENATE("https://us.pandora.net/on/demandware.static/-/Sites-pandora-master-catalog/default/dwbb259ca6/productimages/singlepackshot/",LEFT(A184,FIND("-",A184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84" s="5" t="str">
        <f ca="1">IFERROR(ROWSDUMMYFUNCTION(IF(A184="","",CONCATENATE("https://us.pandora.net/on/demandware.static/-/Sites-pandora-master-catalog/default/dwbb259ca6/productimages/singlepackshot/",LEFT(A184,FIND("-",A184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85" spans="1:4" x14ac:dyDescent="0.25">
      <c r="A185" s="3" t="s">
        <v>187</v>
      </c>
      <c r="B185" s="4">
        <v>129</v>
      </c>
      <c r="C185" s="3" t="str">
        <f ca="1">IFERROR(ROWSDUMMYFUNCTION(IF(A185="","",IFERROR(IMAGE(CONCATENATE("https://us.pandora.net/on/demandware.static/-/Sites-pandora-master-catalog/default/dwbb259ca6/productimages/singlepackshot/",LEFT(A185,FIND("-",A185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85" s="5" t="str">
        <f ca="1">IFERROR(ROWSDUMMYFUNCTION(IF(A185="","",CONCATENATE("https://us.pandora.net/on/demandware.static/-/Sites-pandora-master-catalog/default/dwbb259ca6/productimages/singlepackshot/",LEFT(A185,FIND("-",A185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86" spans="1:4" x14ac:dyDescent="0.25">
      <c r="A186" s="3" t="s">
        <v>188</v>
      </c>
      <c r="B186" s="4">
        <v>129</v>
      </c>
      <c r="C186" s="3" t="str">
        <f ca="1">IFERROR(ROWSDUMMYFUNCTION(IF(A186="","",IFERROR(IMAGE(CONCATENATE("https://us.pandora.net/on/demandware.static/-/Sites-pandora-master-catalog/default/dwbb259ca6/productimages/singlepackshot/",LEFT(A186,FIND("-",A186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86" s="5" t="str">
        <f ca="1">IFERROR(ROWSDUMMYFUNCTION(IF(A186="","",CONCATENATE("https://us.pandora.net/on/demandware.static/-/Sites-pandora-master-catalog/default/dwbb259ca6/productimages/singlepackshot/",LEFT(A186,FIND("-",A186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87" spans="1:4" x14ac:dyDescent="0.25">
      <c r="A187" s="3" t="s">
        <v>189</v>
      </c>
      <c r="B187" s="4">
        <v>129</v>
      </c>
      <c r="C187" s="3" t="str">
        <f ca="1">IFERROR(ROWSDUMMYFUNCTION(IF(A187="","",IFERROR(IMAGE(CONCATENATE("https://us.pandora.net/on/demandware.static/-/Sites-pandora-master-catalog/default/dwbb259ca6/productimages/singlepackshot/",LEFT(A187,FIND("-",A187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87" s="5" t="str">
        <f ca="1">IFERROR(ROWSDUMMYFUNCTION(IF(A187="","",CONCATENATE("https://us.pandora.net/on/demandware.static/-/Sites-pandora-master-catalog/default/dwbb259ca6/productimages/singlepackshot/",LEFT(A187,FIND("-",A187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88" spans="1:4" x14ac:dyDescent="0.25">
      <c r="A188" s="3" t="s">
        <v>190</v>
      </c>
      <c r="B188" s="4">
        <v>129</v>
      </c>
      <c r="C188" s="3" t="str">
        <f ca="1">IFERROR(ROWSDUMMYFUNCTION(IF(A188="","",IFERROR(IMAGE(CONCATENATE("https://us.pandora.net/on/demandware.static/-/Sites-pandora-master-catalog/default/dwbb259ca6/productimages/singlepackshot/",LEFT(A188,FIND("-",A188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88" s="5" t="str">
        <f ca="1">IFERROR(ROWSDUMMYFUNCTION(IF(A188="","",CONCATENATE("https://us.pandora.net/on/demandware.static/-/Sites-pandora-master-catalog/default/dwbb259ca6/productimages/singlepackshot/",LEFT(A188,FIND("-",A188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89" spans="1:4" x14ac:dyDescent="0.25">
      <c r="A189" s="3" t="s">
        <v>191</v>
      </c>
      <c r="B189" s="4">
        <v>129</v>
      </c>
      <c r="C189" s="3" t="str">
        <f ca="1">IFERROR(ROWSDUMMYFUNCTION(IF(A189="","",IFERROR(IMAGE(CONCATENATE("https://us.pandora.net/on/demandware.static/-/Sites-pandora-master-catalog/default/dwbb259ca6/productimages/singlepackshot/",LEFT(A189,FIND("-",A189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89" s="5" t="str">
        <f ca="1">IFERROR(ROWSDUMMYFUNCTION(IF(A189="","",CONCATENATE("https://us.pandora.net/on/demandware.static/-/Sites-pandora-master-catalog/default/dwbb259ca6/productimages/singlepackshot/",LEFT(A189,FIND("-",A189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90" spans="1:4" x14ac:dyDescent="0.25">
      <c r="A190" s="3" t="s">
        <v>192</v>
      </c>
      <c r="B190" s="4">
        <v>129</v>
      </c>
      <c r="C190" s="3" t="str">
        <f ca="1">IFERROR(ROWSDUMMYFUNCTION(IF(A190="","",IFERROR(IMAGE(CONCATENATE("https://us.pandora.net/on/demandware.static/-/Sites-pandora-master-catalog/default/dwbb259ca6/productimages/singlepackshot/",LEFT(A190,FIND("-",A190&amp;"-")-1),"_RGB.png")),""))),"{""url"":""https://us.pandora.net/on/demandware.static/-/Sites-pandora-master-catalog/default/dwbb259ca6/productimages/singlepackshot/163264C00_RGB.png"",""mode"":1}")</f>
        <v>{"url":"https://us.pandora.net/on/demandware.static/-/Sites-pandora-master-catalog/default/dwbb259ca6/productimages/singlepackshot/163264C00_RGB.png","mode":1}</v>
      </c>
      <c r="D190" s="5" t="str">
        <f ca="1">IFERROR(ROWSDUMMYFUNCTION(IF(A190="","",CONCATENATE("https://us.pandora.net/on/demandware.static/-/Sites-pandora-master-catalog/default/dwbb259ca6/productimages/singlepackshot/",LEFT(A190,FIND("-",A190&amp;"-")-1),"_RGB.png"))),"https://us.pandora.net/on/demandware.static/-/Sites-pandora-master-catalog/default/dwbb259ca6/productimages/singlepackshot/163264C00_RGB.png")</f>
        <v>https://us.pandora.net/on/demandware.static/-/Sites-pandora-master-catalog/default/dwbb259ca6/productimages/singlepackshot/163264C00_RGB.png</v>
      </c>
    </row>
    <row r="191" spans="1:4" x14ac:dyDescent="0.25">
      <c r="A191" s="3" t="s">
        <v>193</v>
      </c>
      <c r="B191" s="4">
        <v>149</v>
      </c>
      <c r="C191" s="3" t="str">
        <f ca="1">IFERROR(ROWSDUMMYFUNCTION(IF(A191="","",IFERROR(IMAGE(CONCATENATE("https://us.pandora.net/on/demandware.static/-/Sites-pandora-master-catalog/default/dwbb259ca6/productimages/singlepackshot/",LEFT(A191,FIND("-",A191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1" s="5" t="str">
        <f ca="1">IFERROR(ROWSDUMMYFUNCTION(IF(A191="","",CONCATENATE("https://us.pandora.net/on/demandware.static/-/Sites-pandora-master-catalog/default/dwbb259ca6/productimages/singlepackshot/",LEFT(A191,FIND("-",A191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2" spans="1:4" x14ac:dyDescent="0.25">
      <c r="A192" s="3" t="s">
        <v>194</v>
      </c>
      <c r="B192" s="4">
        <v>149</v>
      </c>
      <c r="C192" s="3" t="str">
        <f ca="1">IFERROR(ROWSDUMMYFUNCTION(IF(A192="","",IFERROR(IMAGE(CONCATENATE("https://us.pandora.net/on/demandware.static/-/Sites-pandora-master-catalog/default/dwbb259ca6/productimages/singlepackshot/",LEFT(A192,FIND("-",A192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2" s="5" t="str">
        <f ca="1">IFERROR(ROWSDUMMYFUNCTION(IF(A192="","",CONCATENATE("https://us.pandora.net/on/demandware.static/-/Sites-pandora-master-catalog/default/dwbb259ca6/productimages/singlepackshot/",LEFT(A192,FIND("-",A192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3" spans="1:4" x14ac:dyDescent="0.25">
      <c r="A193" s="3" t="s">
        <v>195</v>
      </c>
      <c r="B193" s="4">
        <v>149</v>
      </c>
      <c r="C193" s="3" t="str">
        <f ca="1">IFERROR(ROWSDUMMYFUNCTION(IF(A193="","",IFERROR(IMAGE(CONCATENATE("https://us.pandora.net/on/demandware.static/-/Sites-pandora-master-catalog/default/dwbb259ca6/productimages/singlepackshot/",LEFT(A193,FIND("-",A193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3" s="5" t="str">
        <f ca="1">IFERROR(ROWSDUMMYFUNCTION(IF(A193="","",CONCATENATE("https://us.pandora.net/on/demandware.static/-/Sites-pandora-master-catalog/default/dwbb259ca6/productimages/singlepackshot/",LEFT(A193,FIND("-",A193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4" spans="1:4" x14ac:dyDescent="0.25">
      <c r="A194" s="3" t="s">
        <v>196</v>
      </c>
      <c r="B194" s="4">
        <v>149</v>
      </c>
      <c r="C194" s="3" t="str">
        <f ca="1">IFERROR(ROWSDUMMYFUNCTION(IF(A194="","",IFERROR(IMAGE(CONCATENATE("https://us.pandora.net/on/demandware.static/-/Sites-pandora-master-catalog/default/dwbb259ca6/productimages/singlepackshot/",LEFT(A194,FIND("-",A194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4" s="5" t="str">
        <f ca="1">IFERROR(ROWSDUMMYFUNCTION(IF(A194="","",CONCATENATE("https://us.pandora.net/on/demandware.static/-/Sites-pandora-master-catalog/default/dwbb259ca6/productimages/singlepackshot/",LEFT(A194,FIND("-",A194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5" spans="1:4" x14ac:dyDescent="0.25">
      <c r="A195" s="3" t="s">
        <v>197</v>
      </c>
      <c r="B195" s="4">
        <v>149</v>
      </c>
      <c r="C195" s="3" t="str">
        <f ca="1">IFERROR(ROWSDUMMYFUNCTION(IF(A195="","",IFERROR(IMAGE(CONCATENATE("https://us.pandora.net/on/demandware.static/-/Sites-pandora-master-catalog/default/dwbb259ca6/productimages/singlepackshot/",LEFT(A195,FIND("-",A195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5" s="5" t="str">
        <f ca="1">IFERROR(ROWSDUMMYFUNCTION(IF(A195="","",CONCATENATE("https://us.pandora.net/on/demandware.static/-/Sites-pandora-master-catalog/default/dwbb259ca6/productimages/singlepackshot/",LEFT(A195,FIND("-",A195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6" spans="1:4" x14ac:dyDescent="0.25">
      <c r="A196" s="3" t="s">
        <v>198</v>
      </c>
      <c r="B196" s="4">
        <v>149</v>
      </c>
      <c r="C196" s="3" t="str">
        <f ca="1">IFERROR(ROWSDUMMYFUNCTION(IF(A196="","",IFERROR(IMAGE(CONCATENATE("https://us.pandora.net/on/demandware.static/-/Sites-pandora-master-catalog/default/dwbb259ca6/productimages/singlepackshot/",LEFT(A196,FIND("-",A196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6" s="5" t="str">
        <f ca="1">IFERROR(ROWSDUMMYFUNCTION(IF(A196="","",CONCATENATE("https://us.pandora.net/on/demandware.static/-/Sites-pandora-master-catalog/default/dwbb259ca6/productimages/singlepackshot/",LEFT(A196,FIND("-",A196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7" spans="1:4" x14ac:dyDescent="0.25">
      <c r="A197" s="3" t="s">
        <v>199</v>
      </c>
      <c r="B197" s="4">
        <v>149</v>
      </c>
      <c r="C197" s="3" t="str">
        <f ca="1">IFERROR(ROWSDUMMYFUNCTION(IF(A197="","",IFERROR(IMAGE(CONCATENATE("https://us.pandora.net/on/demandware.static/-/Sites-pandora-master-catalog/default/dwbb259ca6/productimages/singlepackshot/",LEFT(A197,FIND("-",A197&amp;"-")-1),"_RGB.png")),""))),"{""url"":""https://us.pandora.net/on/demandware.static/-/Sites-pandora-master-catalog/default/dwbb259ca6/productimages/singlepackshot/163285C01_RGB.png"",""mode"":1}")</f>
        <v>{"url":"https://us.pandora.net/on/demandware.static/-/Sites-pandora-master-catalog/default/dwbb259ca6/productimages/singlepackshot/163285C01_RGB.png","mode":1}</v>
      </c>
      <c r="D197" s="5" t="str">
        <f ca="1">IFERROR(ROWSDUMMYFUNCTION(IF(A197="","",CONCATENATE("https://us.pandora.net/on/demandware.static/-/Sites-pandora-master-catalog/default/dwbb259ca6/productimages/singlepackshot/",LEFT(A197,FIND("-",A197&amp;"-")-1),"_RGB.png"))),"https://us.pandora.net/on/demandware.static/-/Sites-pandora-master-catalog/default/dwbb259ca6/productimages/singlepackshot/163285C01_RGB.png")</f>
        <v>https://us.pandora.net/on/demandware.static/-/Sites-pandora-master-catalog/default/dwbb259ca6/productimages/singlepackshot/163285C01_RGB.png</v>
      </c>
    </row>
    <row r="198" spans="1:4" x14ac:dyDescent="0.25">
      <c r="A198" s="3" t="s">
        <v>200</v>
      </c>
      <c r="B198" s="4">
        <v>99</v>
      </c>
      <c r="C198" s="3" t="str">
        <f ca="1">IFERROR(ROWSDUMMYFUNCTION(IF(A198="","",IFERROR(IMAGE(CONCATENATE("https://us.pandora.net/on/demandware.static/-/Sites-pandora-master-catalog/default/dwbb259ca6/productimages/singlepackshot/",LEFT(A198,FIND("-",A198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198" s="5" t="str">
        <f ca="1">IFERROR(ROWSDUMMYFUNCTION(IF(A198="","",CONCATENATE("https://us.pandora.net/on/demandware.static/-/Sites-pandora-master-catalog/default/dwbb259ca6/productimages/singlepackshot/",LEFT(A198,FIND("-",A198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199" spans="1:4" x14ac:dyDescent="0.25">
      <c r="A199" s="3" t="s">
        <v>201</v>
      </c>
      <c r="B199" s="4">
        <v>99</v>
      </c>
      <c r="C199" s="3" t="str">
        <f ca="1">IFERROR(ROWSDUMMYFUNCTION(IF(A199="","",IFERROR(IMAGE(CONCATENATE("https://us.pandora.net/on/demandware.static/-/Sites-pandora-master-catalog/default/dwbb259ca6/productimages/singlepackshot/",LEFT(A199,FIND("-",A199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199" s="5" t="str">
        <f ca="1">IFERROR(ROWSDUMMYFUNCTION(IF(A199="","",CONCATENATE("https://us.pandora.net/on/demandware.static/-/Sites-pandora-master-catalog/default/dwbb259ca6/productimages/singlepackshot/",LEFT(A199,FIND("-",A199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200" spans="1:4" x14ac:dyDescent="0.25">
      <c r="A200" s="3" t="s">
        <v>202</v>
      </c>
      <c r="B200" s="4">
        <v>99</v>
      </c>
      <c r="C200" s="3" t="str">
        <f ca="1">IFERROR(ROWSDUMMYFUNCTION(IF(A200="","",IFERROR(IMAGE(CONCATENATE("https://us.pandora.net/on/demandware.static/-/Sites-pandora-master-catalog/default/dwbb259ca6/productimages/singlepackshot/",LEFT(A200,FIND("-",A200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200" s="5" t="str">
        <f ca="1">IFERROR(ROWSDUMMYFUNCTION(IF(A200="","",CONCATENATE("https://us.pandora.net/on/demandware.static/-/Sites-pandora-master-catalog/default/dwbb259ca6/productimages/singlepackshot/",LEFT(A200,FIND("-",A200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201" spans="1:4" x14ac:dyDescent="0.25">
      <c r="A201" s="3" t="s">
        <v>203</v>
      </c>
      <c r="B201" s="4">
        <v>99</v>
      </c>
      <c r="C201" s="3" t="str">
        <f ca="1">IFERROR(ROWSDUMMYFUNCTION(IF(A201="","",IFERROR(IMAGE(CONCATENATE("https://us.pandora.net/on/demandware.static/-/Sites-pandora-master-catalog/default/dwbb259ca6/productimages/singlepackshot/",LEFT(A201,FIND("-",A201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201" s="5" t="str">
        <f ca="1">IFERROR(ROWSDUMMYFUNCTION(IF(A201="","",CONCATENATE("https://us.pandora.net/on/demandware.static/-/Sites-pandora-master-catalog/default/dwbb259ca6/productimages/singlepackshot/",LEFT(A201,FIND("-",A201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202" spans="1:4" x14ac:dyDescent="0.25">
      <c r="A202" s="3" t="s">
        <v>204</v>
      </c>
      <c r="B202" s="4">
        <v>99</v>
      </c>
      <c r="C202" s="3" t="str">
        <f ca="1">IFERROR(ROWSDUMMYFUNCTION(IF(A202="","",IFERROR(IMAGE(CONCATENATE("https://us.pandora.net/on/demandware.static/-/Sites-pandora-master-catalog/default/dwbb259ca6/productimages/singlepackshot/",LEFT(A202,FIND("-",A202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202" s="5" t="str">
        <f ca="1">IFERROR(ROWSDUMMYFUNCTION(IF(A202="","",CONCATENATE("https://us.pandora.net/on/demandware.static/-/Sites-pandora-master-catalog/default/dwbb259ca6/productimages/singlepackshot/",LEFT(A202,FIND("-",A202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203" spans="1:4" x14ac:dyDescent="0.25">
      <c r="A203" s="3" t="s">
        <v>205</v>
      </c>
      <c r="B203" s="4">
        <v>99</v>
      </c>
      <c r="C203" s="3" t="str">
        <f ca="1">IFERROR(ROWSDUMMYFUNCTION(IF(A203="","",IFERROR(IMAGE(CONCATENATE("https://us.pandora.net/on/demandware.static/-/Sites-pandora-master-catalog/default/dwbb259ca6/productimages/singlepackshot/",LEFT(A203,FIND("-",A203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203" s="5" t="str">
        <f ca="1">IFERROR(ROWSDUMMYFUNCTION(IF(A203="","",CONCATENATE("https://us.pandora.net/on/demandware.static/-/Sites-pandora-master-catalog/default/dwbb259ca6/productimages/singlepackshot/",LEFT(A203,FIND("-",A203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204" spans="1:4" x14ac:dyDescent="0.25">
      <c r="A204" s="3" t="s">
        <v>206</v>
      </c>
      <c r="B204" s="4">
        <v>99</v>
      </c>
      <c r="C204" s="3" t="str">
        <f ca="1">IFERROR(ROWSDUMMYFUNCTION(IF(A204="","",IFERROR(IMAGE(CONCATENATE("https://us.pandora.net/on/demandware.static/-/Sites-pandora-master-catalog/default/dwbb259ca6/productimages/singlepackshot/",LEFT(A204,FIND("-",A204&amp;"-")-1),"_RGB.png")),""))),"{""url"":""https://us.pandora.net/on/demandware.static/-/Sites-pandora-master-catalog/default/dwbb259ca6/productimages/singlepackshot/163288C00_RGB.png"",""mode"":1}")</f>
        <v>{"url":"https://us.pandora.net/on/demandware.static/-/Sites-pandora-master-catalog/default/dwbb259ca6/productimages/singlepackshot/163288C00_RGB.png","mode":1}</v>
      </c>
      <c r="D204" s="5" t="str">
        <f ca="1">IFERROR(ROWSDUMMYFUNCTION(IF(A204="","",CONCATENATE("https://us.pandora.net/on/demandware.static/-/Sites-pandora-master-catalog/default/dwbb259ca6/productimages/singlepackshot/",LEFT(A204,FIND("-",A204&amp;"-")-1),"_RGB.png"))),"https://us.pandora.net/on/demandware.static/-/Sites-pandora-master-catalog/default/dwbb259ca6/productimages/singlepackshot/163288C00_RGB.png")</f>
        <v>https://us.pandora.net/on/demandware.static/-/Sites-pandora-master-catalog/default/dwbb259ca6/productimages/singlepackshot/163288C00_RGB.png</v>
      </c>
    </row>
    <row r="205" spans="1:4" x14ac:dyDescent="0.25">
      <c r="A205" s="3" t="s">
        <v>207</v>
      </c>
      <c r="B205" s="4">
        <v>119</v>
      </c>
      <c r="C205" s="3" t="str">
        <f ca="1">IFERROR(ROWSDUMMYFUNCTION(IF(A205="","",IFERROR(IMAGE(CONCATENATE("https://us.pandora.net/on/demandware.static/-/Sites-pandora-master-catalog/default/dwbb259ca6/productimages/singlepackshot/",LEFT(A205,FIND("-",A205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05" s="5" t="str">
        <f ca="1">IFERROR(ROWSDUMMYFUNCTION(IF(A205="","",CONCATENATE("https://us.pandora.net/on/demandware.static/-/Sites-pandora-master-catalog/default/dwbb259ca6/productimages/singlepackshot/",LEFT(A205,FIND("-",A205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06" spans="1:4" x14ac:dyDescent="0.25">
      <c r="A206" s="3" t="s">
        <v>208</v>
      </c>
      <c r="B206" s="4">
        <v>119</v>
      </c>
      <c r="C206" s="3" t="str">
        <f ca="1">IFERROR(ROWSDUMMYFUNCTION(IF(A206="","",IFERROR(IMAGE(CONCATENATE("https://us.pandora.net/on/demandware.static/-/Sites-pandora-master-catalog/default/dwbb259ca6/productimages/singlepackshot/",LEFT(A206,FIND("-",A206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06" s="5" t="str">
        <f ca="1">IFERROR(ROWSDUMMYFUNCTION(IF(A206="","",CONCATENATE("https://us.pandora.net/on/demandware.static/-/Sites-pandora-master-catalog/default/dwbb259ca6/productimages/singlepackshot/",LEFT(A206,FIND("-",A206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07" spans="1:4" x14ac:dyDescent="0.25">
      <c r="A207" s="3" t="s">
        <v>209</v>
      </c>
      <c r="B207" s="4">
        <v>119</v>
      </c>
      <c r="C207" s="3" t="str">
        <f ca="1">IFERROR(ROWSDUMMYFUNCTION(IF(A207="","",IFERROR(IMAGE(CONCATENATE("https://us.pandora.net/on/demandware.static/-/Sites-pandora-master-catalog/default/dwbb259ca6/productimages/singlepackshot/",LEFT(A207,FIND("-",A207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07" s="5" t="str">
        <f ca="1">IFERROR(ROWSDUMMYFUNCTION(IF(A207="","",CONCATENATE("https://us.pandora.net/on/demandware.static/-/Sites-pandora-master-catalog/default/dwbb259ca6/productimages/singlepackshot/",LEFT(A207,FIND("-",A207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08" spans="1:4" x14ac:dyDescent="0.25">
      <c r="A208" s="3" t="s">
        <v>210</v>
      </c>
      <c r="B208" s="4">
        <v>119</v>
      </c>
      <c r="C208" s="3" t="str">
        <f ca="1">IFERROR(ROWSDUMMYFUNCTION(IF(A208="","",IFERROR(IMAGE(CONCATENATE("https://us.pandora.net/on/demandware.static/-/Sites-pandora-master-catalog/default/dwbb259ca6/productimages/singlepackshot/",LEFT(A208,FIND("-",A208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08" s="5" t="str">
        <f ca="1">IFERROR(ROWSDUMMYFUNCTION(IF(A208="","",CONCATENATE("https://us.pandora.net/on/demandware.static/-/Sites-pandora-master-catalog/default/dwbb259ca6/productimages/singlepackshot/",LEFT(A208,FIND("-",A208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09" spans="1:4" x14ac:dyDescent="0.25">
      <c r="A209" s="3" t="s">
        <v>211</v>
      </c>
      <c r="B209" s="4">
        <v>119</v>
      </c>
      <c r="C209" s="3" t="str">
        <f ca="1">IFERROR(ROWSDUMMYFUNCTION(IF(A209="","",IFERROR(IMAGE(CONCATENATE("https://us.pandora.net/on/demandware.static/-/Sites-pandora-master-catalog/default/dwbb259ca6/productimages/singlepackshot/",LEFT(A209,FIND("-",A209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09" s="5" t="str">
        <f ca="1">IFERROR(ROWSDUMMYFUNCTION(IF(A209="","",CONCATENATE("https://us.pandora.net/on/demandware.static/-/Sites-pandora-master-catalog/default/dwbb259ca6/productimages/singlepackshot/",LEFT(A209,FIND("-",A209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10" spans="1:4" x14ac:dyDescent="0.25">
      <c r="A210" s="3" t="s">
        <v>212</v>
      </c>
      <c r="B210" s="4">
        <v>119</v>
      </c>
      <c r="C210" s="3" t="str">
        <f ca="1">IFERROR(ROWSDUMMYFUNCTION(IF(A210="","",IFERROR(IMAGE(CONCATENATE("https://us.pandora.net/on/demandware.static/-/Sites-pandora-master-catalog/default/dwbb259ca6/productimages/singlepackshot/",LEFT(A210,FIND("-",A210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10" s="5" t="str">
        <f ca="1">IFERROR(ROWSDUMMYFUNCTION(IF(A210="","",CONCATENATE("https://us.pandora.net/on/demandware.static/-/Sites-pandora-master-catalog/default/dwbb259ca6/productimages/singlepackshot/",LEFT(A210,FIND("-",A210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11" spans="1:4" x14ac:dyDescent="0.25">
      <c r="A211" s="3" t="s">
        <v>213</v>
      </c>
      <c r="B211" s="4">
        <v>119</v>
      </c>
      <c r="C211" s="3" t="str">
        <f ca="1">IFERROR(ROWSDUMMYFUNCTION(IF(A211="","",IFERROR(IMAGE(CONCATENATE("https://us.pandora.net/on/demandware.static/-/Sites-pandora-master-catalog/default/dwbb259ca6/productimages/singlepackshot/",LEFT(A211,FIND("-",A211&amp;"-")-1),"_RGB.png")),""))),"{""url"":""https://us.pandora.net/on/demandware.static/-/Sites-pandora-master-catalog/default/dwbb259ca6/productimages/singlepackshot/163293C01_RGB.png"",""mode"":1}")</f>
        <v>{"url":"https://us.pandora.net/on/demandware.static/-/Sites-pandora-master-catalog/default/dwbb259ca6/productimages/singlepackshot/163293C01_RGB.png","mode":1}</v>
      </c>
      <c r="D211" s="5" t="str">
        <f ca="1">IFERROR(ROWSDUMMYFUNCTION(IF(A211="","",CONCATENATE("https://us.pandora.net/on/demandware.static/-/Sites-pandora-master-catalog/default/dwbb259ca6/productimages/singlepackshot/",LEFT(A211,FIND("-",A211&amp;"-")-1),"_RGB.png"))),"https://us.pandora.net/on/demandware.static/-/Sites-pandora-master-catalog/default/dwbb259ca6/productimages/singlepackshot/163293C01_RGB.png")</f>
        <v>https://us.pandora.net/on/demandware.static/-/Sites-pandora-master-catalog/default/dwbb259ca6/productimages/singlepackshot/163293C01_RGB.png</v>
      </c>
    </row>
    <row r="212" spans="1:4" x14ac:dyDescent="0.25">
      <c r="A212" s="3" t="s">
        <v>214</v>
      </c>
      <c r="B212" s="4">
        <v>49</v>
      </c>
      <c r="C212" s="3" t="str">
        <f ca="1">IFERROR(ROWSDUMMYFUNCTION(IF(A212="","",IFERROR(IMAGE(CONCATENATE("https://us.pandora.net/on/demandware.static/-/Sites-pandora-master-catalog/default/dwbb259ca6/productimages/singlepackshot/",LEFT(A212,FIND("-",A212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2" s="5" t="str">
        <f ca="1">IFERROR(ROWSDUMMYFUNCTION(IF(A212="","",CONCATENATE("https://us.pandora.net/on/demandware.static/-/Sites-pandora-master-catalog/default/dwbb259ca6/productimages/singlepackshot/",LEFT(A212,FIND("-",A212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3" spans="1:4" x14ac:dyDescent="0.25">
      <c r="A213" s="3" t="s">
        <v>215</v>
      </c>
      <c r="B213" s="4">
        <v>49</v>
      </c>
      <c r="C213" s="3" t="str">
        <f ca="1">IFERROR(ROWSDUMMYFUNCTION(IF(A213="","",IFERROR(IMAGE(CONCATENATE("https://us.pandora.net/on/demandware.static/-/Sites-pandora-master-catalog/default/dwbb259ca6/productimages/singlepackshot/",LEFT(A213,FIND("-",A213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3" s="5" t="str">
        <f ca="1">IFERROR(ROWSDUMMYFUNCTION(IF(A213="","",CONCATENATE("https://us.pandora.net/on/demandware.static/-/Sites-pandora-master-catalog/default/dwbb259ca6/productimages/singlepackshot/",LEFT(A213,FIND("-",A213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4" spans="1:4" x14ac:dyDescent="0.25">
      <c r="A214" s="3" t="s">
        <v>216</v>
      </c>
      <c r="B214" s="4">
        <v>49</v>
      </c>
      <c r="C214" s="3" t="str">
        <f ca="1">IFERROR(ROWSDUMMYFUNCTION(IF(A214="","",IFERROR(IMAGE(CONCATENATE("https://us.pandora.net/on/demandware.static/-/Sites-pandora-master-catalog/default/dwbb259ca6/productimages/singlepackshot/",LEFT(A214,FIND("-",A214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4" s="5" t="str">
        <f ca="1">IFERROR(ROWSDUMMYFUNCTION(IF(A214="","",CONCATENATE("https://us.pandora.net/on/demandware.static/-/Sites-pandora-master-catalog/default/dwbb259ca6/productimages/singlepackshot/",LEFT(A214,FIND("-",A214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5" spans="1:4" x14ac:dyDescent="0.25">
      <c r="A215" s="3" t="s">
        <v>217</v>
      </c>
      <c r="B215" s="4">
        <v>49</v>
      </c>
      <c r="C215" s="3" t="str">
        <f ca="1">IFERROR(ROWSDUMMYFUNCTION(IF(A215="","",IFERROR(IMAGE(CONCATENATE("https://us.pandora.net/on/demandware.static/-/Sites-pandora-master-catalog/default/dwbb259ca6/productimages/singlepackshot/",LEFT(A215,FIND("-",A215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5" s="5" t="str">
        <f ca="1">IFERROR(ROWSDUMMYFUNCTION(IF(A215="","",CONCATENATE("https://us.pandora.net/on/demandware.static/-/Sites-pandora-master-catalog/default/dwbb259ca6/productimages/singlepackshot/",LEFT(A215,FIND("-",A215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6" spans="1:4" x14ac:dyDescent="0.25">
      <c r="A216" s="3" t="s">
        <v>218</v>
      </c>
      <c r="B216" s="4">
        <v>49</v>
      </c>
      <c r="C216" s="3" t="str">
        <f ca="1">IFERROR(ROWSDUMMYFUNCTION(IF(A216="","",IFERROR(IMAGE(CONCATENATE("https://us.pandora.net/on/demandware.static/-/Sites-pandora-master-catalog/default/dwbb259ca6/productimages/singlepackshot/",LEFT(A216,FIND("-",A216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6" s="5" t="str">
        <f ca="1">IFERROR(ROWSDUMMYFUNCTION(IF(A216="","",CONCATENATE("https://us.pandora.net/on/demandware.static/-/Sites-pandora-master-catalog/default/dwbb259ca6/productimages/singlepackshot/",LEFT(A216,FIND("-",A216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7" spans="1:4" x14ac:dyDescent="0.25">
      <c r="A217" s="3" t="s">
        <v>219</v>
      </c>
      <c r="B217" s="4">
        <v>49</v>
      </c>
      <c r="C217" s="3" t="str">
        <f ca="1">IFERROR(ROWSDUMMYFUNCTION(IF(A217="","",IFERROR(IMAGE(CONCATENATE("https://us.pandora.net/on/demandware.static/-/Sites-pandora-master-catalog/default/dwbb259ca6/productimages/singlepackshot/",LEFT(A217,FIND("-",A217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7" s="5" t="str">
        <f ca="1">IFERROR(ROWSDUMMYFUNCTION(IF(A217="","",CONCATENATE("https://us.pandora.net/on/demandware.static/-/Sites-pandora-master-catalog/default/dwbb259ca6/productimages/singlepackshot/",LEFT(A217,FIND("-",A217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8" spans="1:4" x14ac:dyDescent="0.25">
      <c r="A218" s="3" t="s">
        <v>220</v>
      </c>
      <c r="B218" s="4">
        <v>49</v>
      </c>
      <c r="C218" s="3" t="str">
        <f ca="1">IFERROR(ROWSDUMMYFUNCTION(IF(A218="","",IFERROR(IMAGE(CONCATENATE("https://us.pandora.net/on/demandware.static/-/Sites-pandora-master-catalog/default/dwbb259ca6/productimages/singlepackshot/",LEFT(A218,FIND("-",A218&amp;"-")-1),"_RGB.png")),""))),"{""url"":""https://us.pandora.net/on/demandware.static/-/Sites-pandora-master-catalog/default/dwbb259ca6/productimages/singlepackshot/163314C00_RGB.png"",""mode"":1}")</f>
        <v>{"url":"https://us.pandora.net/on/demandware.static/-/Sites-pandora-master-catalog/default/dwbb259ca6/productimages/singlepackshot/163314C00_RGB.png","mode":1}</v>
      </c>
      <c r="D218" s="5" t="str">
        <f ca="1">IFERROR(ROWSDUMMYFUNCTION(IF(A218="","",CONCATENATE("https://us.pandora.net/on/demandware.static/-/Sites-pandora-master-catalog/default/dwbb259ca6/productimages/singlepackshot/",LEFT(A218,FIND("-",A218&amp;"-")-1),"_RGB.png"))),"https://us.pandora.net/on/demandware.static/-/Sites-pandora-master-catalog/default/dwbb259ca6/productimages/singlepackshot/163314C00_RGB.png")</f>
        <v>https://us.pandora.net/on/demandware.static/-/Sites-pandora-master-catalog/default/dwbb259ca6/productimages/singlepackshot/163314C00_RGB.png</v>
      </c>
    </row>
    <row r="219" spans="1:4" x14ac:dyDescent="0.25">
      <c r="A219" s="3" t="s">
        <v>221</v>
      </c>
      <c r="B219" s="4">
        <v>99</v>
      </c>
      <c r="C219" s="3" t="str">
        <f ca="1">IFERROR(ROWSDUMMYFUNCTION(IF(A219="","",IFERROR(IMAGE(CONCATENATE("https://us.pandora.net/on/demandware.static/-/Sites-pandora-master-catalog/default/dwbb259ca6/productimages/singlepackshot/",LEFT(A219,FIND("-",A219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19" s="5" t="str">
        <f ca="1">IFERROR(ROWSDUMMYFUNCTION(IF(A219="","",CONCATENATE("https://us.pandora.net/on/demandware.static/-/Sites-pandora-master-catalog/default/dwbb259ca6/productimages/singlepackshot/",LEFT(A219,FIND("-",A219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0" spans="1:4" x14ac:dyDescent="0.25">
      <c r="A220" s="3" t="s">
        <v>222</v>
      </c>
      <c r="B220" s="4">
        <v>99</v>
      </c>
      <c r="C220" s="3" t="str">
        <f ca="1">IFERROR(ROWSDUMMYFUNCTION(IF(A220="","",IFERROR(IMAGE(CONCATENATE("https://us.pandora.net/on/demandware.static/-/Sites-pandora-master-catalog/default/dwbb259ca6/productimages/singlepackshot/",LEFT(A220,FIND("-",A220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20" s="5" t="str">
        <f ca="1">IFERROR(ROWSDUMMYFUNCTION(IF(A220="","",CONCATENATE("https://us.pandora.net/on/demandware.static/-/Sites-pandora-master-catalog/default/dwbb259ca6/productimages/singlepackshot/",LEFT(A220,FIND("-",A220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1" spans="1:4" x14ac:dyDescent="0.25">
      <c r="A221" s="3" t="s">
        <v>223</v>
      </c>
      <c r="B221" s="4">
        <v>99</v>
      </c>
      <c r="C221" s="3" t="str">
        <f ca="1">IFERROR(ROWSDUMMYFUNCTION(IF(A221="","",IFERROR(IMAGE(CONCATENATE("https://us.pandora.net/on/demandware.static/-/Sites-pandora-master-catalog/default/dwbb259ca6/productimages/singlepackshot/",LEFT(A221,FIND("-",A221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21" s="5" t="str">
        <f ca="1">IFERROR(ROWSDUMMYFUNCTION(IF(A221="","",CONCATENATE("https://us.pandora.net/on/demandware.static/-/Sites-pandora-master-catalog/default/dwbb259ca6/productimages/singlepackshot/",LEFT(A221,FIND("-",A221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2" spans="1:4" x14ac:dyDescent="0.25">
      <c r="A222" s="3" t="s">
        <v>224</v>
      </c>
      <c r="B222" s="4">
        <v>99</v>
      </c>
      <c r="C222" s="3" t="str">
        <f ca="1">IFERROR(ROWSDUMMYFUNCTION(IF(A222="","",IFERROR(IMAGE(CONCATENATE("https://us.pandora.net/on/demandware.static/-/Sites-pandora-master-catalog/default/dwbb259ca6/productimages/singlepackshot/",LEFT(A222,FIND("-",A222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22" s="5" t="str">
        <f ca="1">IFERROR(ROWSDUMMYFUNCTION(IF(A222="","",CONCATENATE("https://us.pandora.net/on/demandware.static/-/Sites-pandora-master-catalog/default/dwbb259ca6/productimages/singlepackshot/",LEFT(A222,FIND("-",A222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3" spans="1:4" x14ac:dyDescent="0.25">
      <c r="A223" s="3" t="s">
        <v>225</v>
      </c>
      <c r="B223" s="4">
        <v>99</v>
      </c>
      <c r="C223" s="3" t="str">
        <f ca="1">IFERROR(ROWSDUMMYFUNCTION(IF(A223="","",IFERROR(IMAGE(CONCATENATE("https://us.pandora.net/on/demandware.static/-/Sites-pandora-master-catalog/default/dwbb259ca6/productimages/singlepackshot/",LEFT(A223,FIND("-",A223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23" s="5" t="str">
        <f ca="1">IFERROR(ROWSDUMMYFUNCTION(IF(A223="","",CONCATENATE("https://us.pandora.net/on/demandware.static/-/Sites-pandora-master-catalog/default/dwbb259ca6/productimages/singlepackshot/",LEFT(A223,FIND("-",A223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4" spans="1:4" x14ac:dyDescent="0.25">
      <c r="A224" s="3" t="s">
        <v>226</v>
      </c>
      <c r="B224" s="4">
        <v>99</v>
      </c>
      <c r="C224" s="3" t="str">
        <f ca="1">IFERROR(ROWSDUMMYFUNCTION(IF(A224="","",IFERROR(IMAGE(CONCATENATE("https://us.pandora.net/on/demandware.static/-/Sites-pandora-master-catalog/default/dwbb259ca6/productimages/singlepackshot/",LEFT(A224,FIND("-",A224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24" s="5" t="str">
        <f ca="1">IFERROR(ROWSDUMMYFUNCTION(IF(A224="","",CONCATENATE("https://us.pandora.net/on/demandware.static/-/Sites-pandora-master-catalog/default/dwbb259ca6/productimages/singlepackshot/",LEFT(A224,FIND("-",A224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5" spans="1:4" x14ac:dyDescent="0.25">
      <c r="A225" s="3" t="s">
        <v>227</v>
      </c>
      <c r="B225" s="4">
        <v>99</v>
      </c>
      <c r="C225" s="3" t="str">
        <f ca="1">IFERROR(ROWSDUMMYFUNCTION(IF(A225="","",IFERROR(IMAGE(CONCATENATE("https://us.pandora.net/on/demandware.static/-/Sites-pandora-master-catalog/default/dwbb259ca6/productimages/singlepackshot/",LEFT(A225,FIND("-",A225&amp;"-")-1),"_RGB.png")),""))),"{""url"":""https://us.pandora.net/on/demandware.static/-/Sites-pandora-master-catalog/default/dwbb259ca6/productimages/singlepackshot/163318C00_RGB.png"",""mode"":1}")</f>
        <v>{"url":"https://us.pandora.net/on/demandware.static/-/Sites-pandora-master-catalog/default/dwbb259ca6/productimages/singlepackshot/163318C00_RGB.png","mode":1}</v>
      </c>
      <c r="D225" s="5" t="str">
        <f ca="1">IFERROR(ROWSDUMMYFUNCTION(IF(A225="","",CONCATENATE("https://us.pandora.net/on/demandware.static/-/Sites-pandora-master-catalog/default/dwbb259ca6/productimages/singlepackshot/",LEFT(A225,FIND("-",A225&amp;"-")-1),"_RGB.png"))),"https://us.pandora.net/on/demandware.static/-/Sites-pandora-master-catalog/default/dwbb259ca6/productimages/singlepackshot/163318C00_RGB.png")</f>
        <v>https://us.pandora.net/on/demandware.static/-/Sites-pandora-master-catalog/default/dwbb259ca6/productimages/singlepackshot/163318C00_RGB.png</v>
      </c>
    </row>
    <row r="226" spans="1:4" x14ac:dyDescent="0.25">
      <c r="A226" s="3" t="s">
        <v>228</v>
      </c>
      <c r="B226" s="4">
        <v>49</v>
      </c>
      <c r="C226" s="3" t="str">
        <f ca="1">IFERROR(ROWSDUMMYFUNCTION(IF(A226="","",IFERROR(IMAGE(CONCATENATE("https://us.pandora.net/on/demandware.static/-/Sites-pandora-master-catalog/default/dwbb259ca6/productimages/singlepackshot/",LEFT(A226,FIND("-",A226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26" s="5" t="str">
        <f ca="1">IFERROR(ROWSDUMMYFUNCTION(IF(A226="","",CONCATENATE("https://us.pandora.net/on/demandware.static/-/Sites-pandora-master-catalog/default/dwbb259ca6/productimages/singlepackshot/",LEFT(A226,FIND("-",A226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27" spans="1:4" x14ac:dyDescent="0.25">
      <c r="A227" s="3" t="s">
        <v>229</v>
      </c>
      <c r="B227" s="4">
        <v>49</v>
      </c>
      <c r="C227" s="3" t="str">
        <f ca="1">IFERROR(ROWSDUMMYFUNCTION(IF(A227="","",IFERROR(IMAGE(CONCATENATE("https://us.pandora.net/on/demandware.static/-/Sites-pandora-master-catalog/default/dwbb259ca6/productimages/singlepackshot/",LEFT(A227,FIND("-",A227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27" s="5" t="str">
        <f ca="1">IFERROR(ROWSDUMMYFUNCTION(IF(A227="","",CONCATENATE("https://us.pandora.net/on/demandware.static/-/Sites-pandora-master-catalog/default/dwbb259ca6/productimages/singlepackshot/",LEFT(A227,FIND("-",A227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28" spans="1:4" x14ac:dyDescent="0.25">
      <c r="A228" s="3" t="s">
        <v>230</v>
      </c>
      <c r="B228" s="4">
        <v>49</v>
      </c>
      <c r="C228" s="3" t="str">
        <f ca="1">IFERROR(ROWSDUMMYFUNCTION(IF(A228="","",IFERROR(IMAGE(CONCATENATE("https://us.pandora.net/on/demandware.static/-/Sites-pandora-master-catalog/default/dwbb259ca6/productimages/singlepackshot/",LEFT(A228,FIND("-",A228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28" s="5" t="str">
        <f ca="1">IFERROR(ROWSDUMMYFUNCTION(IF(A228="","",CONCATENATE("https://us.pandora.net/on/demandware.static/-/Sites-pandora-master-catalog/default/dwbb259ca6/productimages/singlepackshot/",LEFT(A228,FIND("-",A228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29" spans="1:4" x14ac:dyDescent="0.25">
      <c r="A229" s="3" t="s">
        <v>231</v>
      </c>
      <c r="B229" s="4">
        <v>49</v>
      </c>
      <c r="C229" s="3" t="str">
        <f ca="1">IFERROR(ROWSDUMMYFUNCTION(IF(A229="","",IFERROR(IMAGE(CONCATENATE("https://us.pandora.net/on/demandware.static/-/Sites-pandora-master-catalog/default/dwbb259ca6/productimages/singlepackshot/",LEFT(A229,FIND("-",A229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29" s="5" t="str">
        <f ca="1">IFERROR(ROWSDUMMYFUNCTION(IF(A229="","",CONCATENATE("https://us.pandora.net/on/demandware.static/-/Sites-pandora-master-catalog/default/dwbb259ca6/productimages/singlepackshot/",LEFT(A229,FIND("-",A229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0" spans="1:4" x14ac:dyDescent="0.25">
      <c r="A230" s="3" t="s">
        <v>232</v>
      </c>
      <c r="B230" s="4">
        <v>49</v>
      </c>
      <c r="C230" s="3" t="str">
        <f ca="1">IFERROR(ROWSDUMMYFUNCTION(IF(A230="","",IFERROR(IMAGE(CONCATENATE("https://us.pandora.net/on/demandware.static/-/Sites-pandora-master-catalog/default/dwbb259ca6/productimages/singlepackshot/",LEFT(A230,FIND("-",A230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30" s="5" t="str">
        <f ca="1">IFERROR(ROWSDUMMYFUNCTION(IF(A230="","",CONCATENATE("https://us.pandora.net/on/demandware.static/-/Sites-pandora-master-catalog/default/dwbb259ca6/productimages/singlepackshot/",LEFT(A230,FIND("-",A230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1" spans="1:4" x14ac:dyDescent="0.25">
      <c r="A231" s="3" t="s">
        <v>233</v>
      </c>
      <c r="B231" s="4">
        <v>49</v>
      </c>
      <c r="C231" s="3" t="str">
        <f ca="1">IFERROR(ROWSDUMMYFUNCTION(IF(A231="","",IFERROR(IMAGE(CONCATENATE("https://us.pandora.net/on/demandware.static/-/Sites-pandora-master-catalog/default/dwbb259ca6/productimages/singlepackshot/",LEFT(A231,FIND("-",A231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31" s="5" t="str">
        <f ca="1">IFERROR(ROWSDUMMYFUNCTION(IF(A231="","",CONCATENATE("https://us.pandora.net/on/demandware.static/-/Sites-pandora-master-catalog/default/dwbb259ca6/productimages/singlepackshot/",LEFT(A231,FIND("-",A231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2" spans="1:4" x14ac:dyDescent="0.25">
      <c r="A232" s="3" t="s">
        <v>234</v>
      </c>
      <c r="B232" s="4">
        <v>49</v>
      </c>
      <c r="C232" s="3" t="str">
        <f ca="1">IFERROR(ROWSDUMMYFUNCTION(IF(A232="","",IFERROR(IMAGE(CONCATENATE("https://us.pandora.net/on/demandware.static/-/Sites-pandora-master-catalog/default/dwbb259ca6/productimages/singlepackshot/",LEFT(A232,FIND("-",A232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32" s="5" t="str">
        <f ca="1">IFERROR(ROWSDUMMYFUNCTION(IF(A232="","",CONCATENATE("https://us.pandora.net/on/demandware.static/-/Sites-pandora-master-catalog/default/dwbb259ca6/productimages/singlepackshot/",LEFT(A232,FIND("-",A232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3" spans="1:4" x14ac:dyDescent="0.25">
      <c r="A233" s="3" t="s">
        <v>235</v>
      </c>
      <c r="B233" s="4">
        <v>49</v>
      </c>
      <c r="C233" s="3" t="str">
        <f ca="1">IFERROR(ROWSDUMMYFUNCTION(IF(A233="","",IFERROR(IMAGE(CONCATENATE("https://us.pandora.net/on/demandware.static/-/Sites-pandora-master-catalog/default/dwbb259ca6/productimages/singlepackshot/",LEFT(A233,FIND("-",A233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33" s="5" t="str">
        <f ca="1">IFERROR(ROWSDUMMYFUNCTION(IF(A233="","",CONCATENATE("https://us.pandora.net/on/demandware.static/-/Sites-pandora-master-catalog/default/dwbb259ca6/productimages/singlepackshot/",LEFT(A233,FIND("-",A233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4" spans="1:4" x14ac:dyDescent="0.25">
      <c r="A234" s="3" t="s">
        <v>236</v>
      </c>
      <c r="B234" s="4">
        <v>49</v>
      </c>
      <c r="C234" s="3" t="str">
        <f ca="1">IFERROR(ROWSDUMMYFUNCTION(IF(A234="","",IFERROR(IMAGE(CONCATENATE("https://us.pandora.net/on/demandware.static/-/Sites-pandora-master-catalog/default/dwbb259ca6/productimages/singlepackshot/",LEFT(A234,FIND("-",A234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34" s="5" t="str">
        <f ca="1">IFERROR(ROWSDUMMYFUNCTION(IF(A234="","",CONCATENATE("https://us.pandora.net/on/demandware.static/-/Sites-pandora-master-catalog/default/dwbb259ca6/productimages/singlepackshot/",LEFT(A234,FIND("-",A234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5" spans="1:4" x14ac:dyDescent="0.25">
      <c r="A235" s="3" t="s">
        <v>237</v>
      </c>
      <c r="B235" s="4">
        <v>49</v>
      </c>
      <c r="C235" s="3" t="str">
        <f ca="1">IFERROR(ROWSDUMMYFUNCTION(IF(A235="","",IFERROR(IMAGE(CONCATENATE("https://us.pandora.net/on/demandware.static/-/Sites-pandora-master-catalog/default/dwbb259ca6/productimages/singlepackshot/",LEFT(A235,FIND("-",A235&amp;"-")-1),"_RGB.png")),""))),"{""url"":""https://us.pandora.net/on/demandware.static/-/Sites-pandora-master-catalog/default/dwbb259ca6/productimages/singlepackshot/163322C01_RGB.png"",""mode"":1}")</f>
        <v>{"url":"https://us.pandora.net/on/demandware.static/-/Sites-pandora-master-catalog/default/dwbb259ca6/productimages/singlepackshot/163322C01_RGB.png","mode":1}</v>
      </c>
      <c r="D235" s="5" t="str">
        <f ca="1">IFERROR(ROWSDUMMYFUNCTION(IF(A235="","",CONCATENATE("https://us.pandora.net/on/demandware.static/-/Sites-pandora-master-catalog/default/dwbb259ca6/productimages/singlepackshot/",LEFT(A235,FIND("-",A235&amp;"-")-1),"_RGB.png"))),"https://us.pandora.net/on/demandware.static/-/Sites-pandora-master-catalog/default/dwbb259ca6/productimages/singlepackshot/163322C01_RGB.png")</f>
        <v>https://us.pandora.net/on/demandware.static/-/Sites-pandora-master-catalog/default/dwbb259ca6/productimages/singlepackshot/163322C01_RGB.png</v>
      </c>
    </row>
    <row r="236" spans="1:4" x14ac:dyDescent="0.25">
      <c r="A236" s="3" t="s">
        <v>238</v>
      </c>
      <c r="B236" s="4">
        <v>59</v>
      </c>
      <c r="C236" s="3" t="str">
        <f ca="1">IFERROR(ROWSDUMMYFUNCTION(IF(A236="","",IFERROR(IMAGE(CONCATENATE("https://us.pandora.net/on/demandware.static/-/Sites-pandora-master-catalog/default/dwbb259ca6/productimages/singlepackshot/",LEFT(A236,FIND("-",A236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36" s="5" t="str">
        <f ca="1">IFERROR(ROWSDUMMYFUNCTION(IF(A236="","",CONCATENATE("https://us.pandora.net/on/demandware.static/-/Sites-pandora-master-catalog/default/dwbb259ca6/productimages/singlepackshot/",LEFT(A236,FIND("-",A236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37" spans="1:4" x14ac:dyDescent="0.25">
      <c r="A237" s="3" t="s">
        <v>239</v>
      </c>
      <c r="B237" s="4">
        <v>59</v>
      </c>
      <c r="C237" s="3" t="str">
        <f ca="1">IFERROR(ROWSDUMMYFUNCTION(IF(A237="","",IFERROR(IMAGE(CONCATENATE("https://us.pandora.net/on/demandware.static/-/Sites-pandora-master-catalog/default/dwbb259ca6/productimages/singlepackshot/",LEFT(A237,FIND("-",A237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37" s="5" t="str">
        <f ca="1">IFERROR(ROWSDUMMYFUNCTION(IF(A237="","",CONCATENATE("https://us.pandora.net/on/demandware.static/-/Sites-pandora-master-catalog/default/dwbb259ca6/productimages/singlepackshot/",LEFT(A237,FIND("-",A237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38" spans="1:4" x14ac:dyDescent="0.25">
      <c r="A238" s="3" t="s">
        <v>240</v>
      </c>
      <c r="B238" s="4">
        <v>59</v>
      </c>
      <c r="C238" s="3" t="str">
        <f ca="1">IFERROR(ROWSDUMMYFUNCTION(IF(A238="","",IFERROR(IMAGE(CONCATENATE("https://us.pandora.net/on/demandware.static/-/Sites-pandora-master-catalog/default/dwbb259ca6/productimages/singlepackshot/",LEFT(A238,FIND("-",A238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38" s="5" t="str">
        <f ca="1">IFERROR(ROWSDUMMYFUNCTION(IF(A238="","",CONCATENATE("https://us.pandora.net/on/demandware.static/-/Sites-pandora-master-catalog/default/dwbb259ca6/productimages/singlepackshot/",LEFT(A238,FIND("-",A238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39" spans="1:4" x14ac:dyDescent="0.25">
      <c r="A239" s="3" t="s">
        <v>241</v>
      </c>
      <c r="B239" s="4">
        <v>59</v>
      </c>
      <c r="C239" s="3" t="str">
        <f ca="1">IFERROR(ROWSDUMMYFUNCTION(IF(A239="","",IFERROR(IMAGE(CONCATENATE("https://us.pandora.net/on/demandware.static/-/Sites-pandora-master-catalog/default/dwbb259ca6/productimages/singlepackshot/",LEFT(A239,FIND("-",A239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39" s="5" t="str">
        <f ca="1">IFERROR(ROWSDUMMYFUNCTION(IF(A239="","",CONCATENATE("https://us.pandora.net/on/demandware.static/-/Sites-pandora-master-catalog/default/dwbb259ca6/productimages/singlepackshot/",LEFT(A239,FIND("-",A239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40" spans="1:4" x14ac:dyDescent="0.25">
      <c r="A240" s="3" t="s">
        <v>242</v>
      </c>
      <c r="B240" s="4">
        <v>59</v>
      </c>
      <c r="C240" s="3" t="str">
        <f ca="1">IFERROR(ROWSDUMMYFUNCTION(IF(A240="","",IFERROR(IMAGE(CONCATENATE("https://us.pandora.net/on/demandware.static/-/Sites-pandora-master-catalog/default/dwbb259ca6/productimages/singlepackshot/",LEFT(A240,FIND("-",A240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40" s="5" t="str">
        <f ca="1">IFERROR(ROWSDUMMYFUNCTION(IF(A240="","",CONCATENATE("https://us.pandora.net/on/demandware.static/-/Sites-pandora-master-catalog/default/dwbb259ca6/productimages/singlepackshot/",LEFT(A240,FIND("-",A240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41" spans="1:4" x14ac:dyDescent="0.25">
      <c r="A241" s="3" t="s">
        <v>243</v>
      </c>
      <c r="B241" s="4">
        <v>59</v>
      </c>
      <c r="C241" s="3" t="str">
        <f ca="1">IFERROR(ROWSDUMMYFUNCTION(IF(A241="","",IFERROR(IMAGE(CONCATENATE("https://us.pandora.net/on/demandware.static/-/Sites-pandora-master-catalog/default/dwbb259ca6/productimages/singlepackshot/",LEFT(A241,FIND("-",A241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41" s="5" t="str">
        <f ca="1">IFERROR(ROWSDUMMYFUNCTION(IF(A241="","",CONCATENATE("https://us.pandora.net/on/demandware.static/-/Sites-pandora-master-catalog/default/dwbb259ca6/productimages/singlepackshot/",LEFT(A241,FIND("-",A241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42" spans="1:4" x14ac:dyDescent="0.25">
      <c r="A242" s="3" t="s">
        <v>244</v>
      </c>
      <c r="B242" s="4">
        <v>59</v>
      </c>
      <c r="C242" s="3" t="str">
        <f ca="1">IFERROR(ROWSDUMMYFUNCTION(IF(A242="","",IFERROR(IMAGE(CONCATENATE("https://us.pandora.net/on/demandware.static/-/Sites-pandora-master-catalog/default/dwbb259ca6/productimages/singlepackshot/",LEFT(A242,FIND("-",A242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42" s="5" t="str">
        <f ca="1">IFERROR(ROWSDUMMYFUNCTION(IF(A242="","",CONCATENATE("https://us.pandora.net/on/demandware.static/-/Sites-pandora-master-catalog/default/dwbb259ca6/productimages/singlepackshot/",LEFT(A242,FIND("-",A242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43" spans="1:4" x14ac:dyDescent="0.25">
      <c r="A243" s="3" t="s">
        <v>245</v>
      </c>
      <c r="B243" s="4">
        <v>59</v>
      </c>
      <c r="C243" s="3" t="str">
        <f ca="1">IFERROR(ROWSDUMMYFUNCTION(IF(A243="","",IFERROR(IMAGE(CONCATENATE("https://us.pandora.net/on/demandware.static/-/Sites-pandora-master-catalog/default/dwbb259ca6/productimages/singlepackshot/",LEFT(A243,FIND("-",A243&amp;"-")-1),"_RGB.png")),""))),"{""url"":""https://us.pandora.net/on/demandware.static/-/Sites-pandora-master-catalog/default/dwbb259ca6/productimages/singlepackshot/163325C01_RGB.png"",""mode"":1}")</f>
        <v>{"url":"https://us.pandora.net/on/demandware.static/-/Sites-pandora-master-catalog/default/dwbb259ca6/productimages/singlepackshot/163325C01_RGB.png","mode":1}</v>
      </c>
      <c r="D243" s="5" t="str">
        <f ca="1">IFERROR(ROWSDUMMYFUNCTION(IF(A243="","",CONCATENATE("https://us.pandora.net/on/demandware.static/-/Sites-pandora-master-catalog/default/dwbb259ca6/productimages/singlepackshot/",LEFT(A243,FIND("-",A243&amp;"-")-1),"_RGB.png"))),"https://us.pandora.net/on/demandware.static/-/Sites-pandora-master-catalog/default/dwbb259ca6/productimages/singlepackshot/163325C01_RGB.png")</f>
        <v>https://us.pandora.net/on/demandware.static/-/Sites-pandora-master-catalog/default/dwbb259ca6/productimages/singlepackshot/163325C01_RGB.png</v>
      </c>
    </row>
    <row r="244" spans="1:4" x14ac:dyDescent="0.25">
      <c r="A244" s="3" t="s">
        <v>246</v>
      </c>
      <c r="B244" s="4">
        <v>69</v>
      </c>
      <c r="C244" s="3" t="str">
        <f ca="1">IFERROR(ROWSDUMMYFUNCTION(IF(A244="","",IFERROR(IMAGE(CONCATENATE("https://us.pandora.net/on/demandware.static/-/Sites-pandora-master-catalog/default/dwbb259ca6/productimages/singlepackshot/",LEFT(A244,FIND("-",A244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44" s="5" t="str">
        <f ca="1">IFERROR(ROWSDUMMYFUNCTION(IF(A244="","",CONCATENATE("https://us.pandora.net/on/demandware.static/-/Sites-pandora-master-catalog/default/dwbb259ca6/productimages/singlepackshot/",LEFT(A244,FIND("-",A244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45" spans="1:4" x14ac:dyDescent="0.25">
      <c r="A245" s="3" t="s">
        <v>247</v>
      </c>
      <c r="B245" s="4">
        <v>69</v>
      </c>
      <c r="C245" s="3" t="str">
        <f ca="1">IFERROR(ROWSDUMMYFUNCTION(IF(A245="","",IFERROR(IMAGE(CONCATENATE("https://us.pandora.net/on/demandware.static/-/Sites-pandora-master-catalog/default/dwbb259ca6/productimages/singlepackshot/",LEFT(A245,FIND("-",A245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45" s="5" t="str">
        <f ca="1">IFERROR(ROWSDUMMYFUNCTION(IF(A245="","",CONCATENATE("https://us.pandora.net/on/demandware.static/-/Sites-pandora-master-catalog/default/dwbb259ca6/productimages/singlepackshot/",LEFT(A245,FIND("-",A245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46" spans="1:4" x14ac:dyDescent="0.25">
      <c r="A246" s="3" t="s">
        <v>248</v>
      </c>
      <c r="B246" s="4">
        <v>69</v>
      </c>
      <c r="C246" s="3" t="str">
        <f ca="1">IFERROR(ROWSDUMMYFUNCTION(IF(A246="","",IFERROR(IMAGE(CONCATENATE("https://us.pandora.net/on/demandware.static/-/Sites-pandora-master-catalog/default/dwbb259ca6/productimages/singlepackshot/",LEFT(A246,FIND("-",A246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46" s="5" t="str">
        <f ca="1">IFERROR(ROWSDUMMYFUNCTION(IF(A246="","",CONCATENATE("https://us.pandora.net/on/demandware.static/-/Sites-pandora-master-catalog/default/dwbb259ca6/productimages/singlepackshot/",LEFT(A246,FIND("-",A246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47" spans="1:4" x14ac:dyDescent="0.25">
      <c r="A247" s="3" t="s">
        <v>249</v>
      </c>
      <c r="B247" s="4">
        <v>69</v>
      </c>
      <c r="C247" s="3" t="str">
        <f ca="1">IFERROR(ROWSDUMMYFUNCTION(IF(A247="","",IFERROR(IMAGE(CONCATENATE("https://us.pandora.net/on/demandware.static/-/Sites-pandora-master-catalog/default/dwbb259ca6/productimages/singlepackshot/",LEFT(A247,FIND("-",A247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47" s="5" t="str">
        <f ca="1">IFERROR(ROWSDUMMYFUNCTION(IF(A247="","",CONCATENATE("https://us.pandora.net/on/demandware.static/-/Sites-pandora-master-catalog/default/dwbb259ca6/productimages/singlepackshot/",LEFT(A247,FIND("-",A247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48" spans="1:4" x14ac:dyDescent="0.25">
      <c r="A248" s="3" t="s">
        <v>250</v>
      </c>
      <c r="B248" s="4">
        <v>69</v>
      </c>
      <c r="C248" s="3" t="str">
        <f ca="1">IFERROR(ROWSDUMMYFUNCTION(IF(A248="","",IFERROR(IMAGE(CONCATENATE("https://us.pandora.net/on/demandware.static/-/Sites-pandora-master-catalog/default/dwbb259ca6/productimages/singlepackshot/",LEFT(A248,FIND("-",A248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48" s="5" t="str">
        <f ca="1">IFERROR(ROWSDUMMYFUNCTION(IF(A248="","",CONCATENATE("https://us.pandora.net/on/demandware.static/-/Sites-pandora-master-catalog/default/dwbb259ca6/productimages/singlepackshot/",LEFT(A248,FIND("-",A248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49" spans="1:4" x14ac:dyDescent="0.25">
      <c r="A249" s="3" t="s">
        <v>251</v>
      </c>
      <c r="B249" s="4">
        <v>69</v>
      </c>
      <c r="C249" s="3" t="str">
        <f ca="1">IFERROR(ROWSDUMMYFUNCTION(IF(A249="","",IFERROR(IMAGE(CONCATENATE("https://us.pandora.net/on/demandware.static/-/Sites-pandora-master-catalog/default/dwbb259ca6/productimages/singlepackshot/",LEFT(A249,FIND("-",A249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49" s="5" t="str">
        <f ca="1">IFERROR(ROWSDUMMYFUNCTION(IF(A249="","",CONCATENATE("https://us.pandora.net/on/demandware.static/-/Sites-pandora-master-catalog/default/dwbb259ca6/productimages/singlepackshot/",LEFT(A249,FIND("-",A249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50" spans="1:4" x14ac:dyDescent="0.25">
      <c r="A250" s="3" t="s">
        <v>252</v>
      </c>
      <c r="B250" s="4">
        <v>69</v>
      </c>
      <c r="C250" s="3" t="str">
        <f ca="1">IFERROR(ROWSDUMMYFUNCTION(IF(A250="","",IFERROR(IMAGE(CONCATENATE("https://us.pandora.net/on/demandware.static/-/Sites-pandora-master-catalog/default/dwbb259ca6/productimages/singlepackshot/",LEFT(A250,FIND("-",A250&amp;"-")-1),"_RGB.png")),""))),"{""url"":""https://us.pandora.net/on/demandware.static/-/Sites-pandora-master-catalog/default/dwbb259ca6/productimages/singlepackshot/163362C00_RGB.png"",""mode"":1}")</f>
        <v>{"url":"https://us.pandora.net/on/demandware.static/-/Sites-pandora-master-catalog/default/dwbb259ca6/productimages/singlepackshot/163362C00_RGB.png","mode":1}</v>
      </c>
      <c r="D250" s="5" t="str">
        <f ca="1">IFERROR(ROWSDUMMYFUNCTION(IF(A250="","",CONCATENATE("https://us.pandora.net/on/demandware.static/-/Sites-pandora-master-catalog/default/dwbb259ca6/productimages/singlepackshot/",LEFT(A250,FIND("-",A250&amp;"-")-1),"_RGB.png"))),"https://us.pandora.net/on/demandware.static/-/Sites-pandora-master-catalog/default/dwbb259ca6/productimages/singlepackshot/163362C00_RGB.png")</f>
        <v>https://us.pandora.net/on/demandware.static/-/Sites-pandora-master-catalog/default/dwbb259ca6/productimages/singlepackshot/163362C00_RGB.png</v>
      </c>
    </row>
    <row r="251" spans="1:4" x14ac:dyDescent="0.25">
      <c r="A251" s="3" t="s">
        <v>253</v>
      </c>
      <c r="B251" s="4">
        <v>89</v>
      </c>
      <c r="C251" s="3" t="str">
        <f ca="1">IFERROR(ROWSDUMMYFUNCTION(IF(A251="","",IFERROR(IMAGE(CONCATENATE("https://us.pandora.net/on/demandware.static/-/Sites-pandora-master-catalog/default/dwbb259ca6/productimages/singlepackshot/",LEFT(A251,FIND("-",A251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1" s="5" t="str">
        <f ca="1">IFERROR(ROWSDUMMYFUNCTION(IF(A251="","",CONCATENATE("https://us.pandora.net/on/demandware.static/-/Sites-pandora-master-catalog/default/dwbb259ca6/productimages/singlepackshot/",LEFT(A251,FIND("-",A251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2" spans="1:4" x14ac:dyDescent="0.25">
      <c r="A252" s="3" t="s">
        <v>254</v>
      </c>
      <c r="B252" s="4">
        <v>89</v>
      </c>
      <c r="C252" s="3" t="str">
        <f ca="1">IFERROR(ROWSDUMMYFUNCTION(IF(A252="","",IFERROR(IMAGE(CONCATENATE("https://us.pandora.net/on/demandware.static/-/Sites-pandora-master-catalog/default/dwbb259ca6/productimages/singlepackshot/",LEFT(A252,FIND("-",A252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2" s="5" t="str">
        <f ca="1">IFERROR(ROWSDUMMYFUNCTION(IF(A252="","",CONCATENATE("https://us.pandora.net/on/demandware.static/-/Sites-pandora-master-catalog/default/dwbb259ca6/productimages/singlepackshot/",LEFT(A252,FIND("-",A252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3" spans="1:4" x14ac:dyDescent="0.25">
      <c r="A253" s="3" t="s">
        <v>255</v>
      </c>
      <c r="B253" s="4">
        <v>89</v>
      </c>
      <c r="C253" s="3" t="str">
        <f ca="1">IFERROR(ROWSDUMMYFUNCTION(IF(A253="","",IFERROR(IMAGE(CONCATENATE("https://us.pandora.net/on/demandware.static/-/Sites-pandora-master-catalog/default/dwbb259ca6/productimages/singlepackshot/",LEFT(A253,FIND("-",A253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3" s="5" t="str">
        <f ca="1">IFERROR(ROWSDUMMYFUNCTION(IF(A253="","",CONCATENATE("https://us.pandora.net/on/demandware.static/-/Sites-pandora-master-catalog/default/dwbb259ca6/productimages/singlepackshot/",LEFT(A253,FIND("-",A253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4" spans="1:4" x14ac:dyDescent="0.25">
      <c r="A254" s="3" t="s">
        <v>256</v>
      </c>
      <c r="B254" s="4">
        <v>89</v>
      </c>
      <c r="C254" s="3" t="str">
        <f ca="1">IFERROR(ROWSDUMMYFUNCTION(IF(A254="","",IFERROR(IMAGE(CONCATENATE("https://us.pandora.net/on/demandware.static/-/Sites-pandora-master-catalog/default/dwbb259ca6/productimages/singlepackshot/",LEFT(A254,FIND("-",A254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4" s="5" t="str">
        <f ca="1">IFERROR(ROWSDUMMYFUNCTION(IF(A254="","",CONCATENATE("https://us.pandora.net/on/demandware.static/-/Sites-pandora-master-catalog/default/dwbb259ca6/productimages/singlepackshot/",LEFT(A254,FIND("-",A254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5" spans="1:4" x14ac:dyDescent="0.25">
      <c r="A255" s="3" t="s">
        <v>257</v>
      </c>
      <c r="B255" s="4">
        <v>89</v>
      </c>
      <c r="C255" s="3" t="str">
        <f ca="1">IFERROR(ROWSDUMMYFUNCTION(IF(A255="","",IFERROR(IMAGE(CONCATENATE("https://us.pandora.net/on/demandware.static/-/Sites-pandora-master-catalog/default/dwbb259ca6/productimages/singlepackshot/",LEFT(A255,FIND("-",A255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5" s="5" t="str">
        <f ca="1">IFERROR(ROWSDUMMYFUNCTION(IF(A255="","",CONCATENATE("https://us.pandora.net/on/demandware.static/-/Sites-pandora-master-catalog/default/dwbb259ca6/productimages/singlepackshot/",LEFT(A255,FIND("-",A255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6" spans="1:4" x14ac:dyDescent="0.25">
      <c r="A256" s="3" t="s">
        <v>258</v>
      </c>
      <c r="B256" s="4">
        <v>89</v>
      </c>
      <c r="C256" s="3" t="str">
        <f ca="1">IFERROR(ROWSDUMMYFUNCTION(IF(A256="","",IFERROR(IMAGE(CONCATENATE("https://us.pandora.net/on/demandware.static/-/Sites-pandora-master-catalog/default/dwbb259ca6/productimages/singlepackshot/",LEFT(A256,FIND("-",A256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6" s="5" t="str">
        <f ca="1">IFERROR(ROWSDUMMYFUNCTION(IF(A256="","",CONCATENATE("https://us.pandora.net/on/demandware.static/-/Sites-pandora-master-catalog/default/dwbb259ca6/productimages/singlepackshot/",LEFT(A256,FIND("-",A256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7" spans="1:4" x14ac:dyDescent="0.25">
      <c r="A257" s="3" t="s">
        <v>259</v>
      </c>
      <c r="B257" s="4">
        <v>89</v>
      </c>
      <c r="C257" s="3" t="str">
        <f ca="1">IFERROR(ROWSDUMMYFUNCTION(IF(A257="","",IFERROR(IMAGE(CONCATENATE("https://us.pandora.net/on/demandware.static/-/Sites-pandora-master-catalog/default/dwbb259ca6/productimages/singlepackshot/",LEFT(A257,FIND("-",A257&amp;"-")-1),"_RGB.png")),""))),"{""url"":""https://us.pandora.net/on/demandware.static/-/Sites-pandora-master-catalog/default/dwbb259ca6/productimages/singlepackshot/163422C01_RGB.png"",""mode"":1}")</f>
        <v>{"url":"https://us.pandora.net/on/demandware.static/-/Sites-pandora-master-catalog/default/dwbb259ca6/productimages/singlepackshot/163422C01_RGB.png","mode":1}</v>
      </c>
      <c r="D257" s="5" t="str">
        <f ca="1">IFERROR(ROWSDUMMYFUNCTION(IF(A257="","",CONCATENATE("https://us.pandora.net/on/demandware.static/-/Sites-pandora-master-catalog/default/dwbb259ca6/productimages/singlepackshot/",LEFT(A257,FIND("-",A257&amp;"-")-1),"_RGB.png"))),"https://us.pandora.net/on/demandware.static/-/Sites-pandora-master-catalog/default/dwbb259ca6/productimages/singlepackshot/163422C01_RGB.png")</f>
        <v>https://us.pandora.net/on/demandware.static/-/Sites-pandora-master-catalog/default/dwbb259ca6/productimages/singlepackshot/163422C01_RGB.png</v>
      </c>
    </row>
    <row r="258" spans="1:4" x14ac:dyDescent="0.25">
      <c r="A258" s="3" t="s">
        <v>260</v>
      </c>
      <c r="B258" s="4">
        <v>59</v>
      </c>
      <c r="C258" s="3" t="str">
        <f ca="1">IFERROR(ROWSDUMMYFUNCTION(IF(A258="","",IFERROR(IMAGE(CONCATENATE("https://us.pandora.net/on/demandware.static/-/Sites-pandora-master-catalog/default/dwbb259ca6/productimages/singlepackshot/",LEFT(A258,FIND("-",A258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58" s="5" t="str">
        <f ca="1">IFERROR(ROWSDUMMYFUNCTION(IF(A258="","",CONCATENATE("https://us.pandora.net/on/demandware.static/-/Sites-pandora-master-catalog/default/dwbb259ca6/productimages/singlepackshot/",LEFT(A258,FIND("-",A258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59" spans="1:4" x14ac:dyDescent="0.25">
      <c r="A259" s="3" t="s">
        <v>261</v>
      </c>
      <c r="B259" s="4">
        <v>59</v>
      </c>
      <c r="C259" s="3" t="str">
        <f ca="1">IFERROR(ROWSDUMMYFUNCTION(IF(A259="","",IFERROR(IMAGE(CONCATENATE("https://us.pandora.net/on/demandware.static/-/Sites-pandora-master-catalog/default/dwbb259ca6/productimages/singlepackshot/",LEFT(A259,FIND("-",A259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59" s="5" t="str">
        <f ca="1">IFERROR(ROWSDUMMYFUNCTION(IF(A259="","",CONCATENATE("https://us.pandora.net/on/demandware.static/-/Sites-pandora-master-catalog/default/dwbb259ca6/productimages/singlepackshot/",LEFT(A259,FIND("-",A259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60" spans="1:4" x14ac:dyDescent="0.25">
      <c r="A260" s="3" t="s">
        <v>262</v>
      </c>
      <c r="B260" s="4">
        <v>59</v>
      </c>
      <c r="C260" s="3" t="str">
        <f ca="1">IFERROR(ROWSDUMMYFUNCTION(IF(A260="","",IFERROR(IMAGE(CONCATENATE("https://us.pandora.net/on/demandware.static/-/Sites-pandora-master-catalog/default/dwbb259ca6/productimages/singlepackshot/",LEFT(A260,FIND("-",A260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60" s="5" t="str">
        <f ca="1">IFERROR(ROWSDUMMYFUNCTION(IF(A260="","",CONCATENATE("https://us.pandora.net/on/demandware.static/-/Sites-pandora-master-catalog/default/dwbb259ca6/productimages/singlepackshot/",LEFT(A260,FIND("-",A260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61" spans="1:4" x14ac:dyDescent="0.25">
      <c r="A261" s="3" t="s">
        <v>263</v>
      </c>
      <c r="B261" s="4">
        <v>59</v>
      </c>
      <c r="C261" s="3" t="str">
        <f ca="1">IFERROR(ROWSDUMMYFUNCTION(IF(A261="","",IFERROR(IMAGE(CONCATENATE("https://us.pandora.net/on/demandware.static/-/Sites-pandora-master-catalog/default/dwbb259ca6/productimages/singlepackshot/",LEFT(A261,FIND("-",A261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61" s="5" t="str">
        <f ca="1">IFERROR(ROWSDUMMYFUNCTION(IF(A261="","",CONCATENATE("https://us.pandora.net/on/demandware.static/-/Sites-pandora-master-catalog/default/dwbb259ca6/productimages/singlepackshot/",LEFT(A261,FIND("-",A261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62" spans="1:4" x14ac:dyDescent="0.25">
      <c r="A262" s="3" t="s">
        <v>264</v>
      </c>
      <c r="B262" s="4">
        <v>59</v>
      </c>
      <c r="C262" s="3" t="str">
        <f ca="1">IFERROR(ROWSDUMMYFUNCTION(IF(A262="","",IFERROR(IMAGE(CONCATENATE("https://us.pandora.net/on/demandware.static/-/Sites-pandora-master-catalog/default/dwbb259ca6/productimages/singlepackshot/",LEFT(A262,FIND("-",A262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62" s="5" t="str">
        <f ca="1">IFERROR(ROWSDUMMYFUNCTION(IF(A262="","",CONCATENATE("https://us.pandora.net/on/demandware.static/-/Sites-pandora-master-catalog/default/dwbb259ca6/productimages/singlepackshot/",LEFT(A262,FIND("-",A262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63" spans="1:4" x14ac:dyDescent="0.25">
      <c r="A263" s="3" t="s">
        <v>265</v>
      </c>
      <c r="B263" s="4">
        <v>59</v>
      </c>
      <c r="C263" s="3" t="str">
        <f ca="1">IFERROR(ROWSDUMMYFUNCTION(IF(A263="","",IFERROR(IMAGE(CONCATENATE("https://us.pandora.net/on/demandware.static/-/Sites-pandora-master-catalog/default/dwbb259ca6/productimages/singlepackshot/",LEFT(A263,FIND("-",A263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63" s="5" t="str">
        <f ca="1">IFERROR(ROWSDUMMYFUNCTION(IF(A263="","",CONCATENATE("https://us.pandora.net/on/demandware.static/-/Sites-pandora-master-catalog/default/dwbb259ca6/productimages/singlepackshot/",LEFT(A263,FIND("-",A263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64" spans="1:4" x14ac:dyDescent="0.25">
      <c r="A264" s="3" t="s">
        <v>266</v>
      </c>
      <c r="B264" s="4">
        <v>59</v>
      </c>
      <c r="C264" s="3" t="str">
        <f ca="1">IFERROR(ROWSDUMMYFUNCTION(IF(A264="","",IFERROR(IMAGE(CONCATENATE("https://us.pandora.net/on/demandware.static/-/Sites-pandora-master-catalog/default/dwbb259ca6/productimages/singlepackshot/",LEFT(A264,FIND("-",A264&amp;"-")-1),"_RGB.png")),""))),"{""url"":""https://us.pandora.net/on/demandware.static/-/Sites-pandora-master-catalog/default/dwbb259ca6/productimages/singlepackshot/163427C00_RGB.png"",""mode"":1}")</f>
        <v>{"url":"https://us.pandora.net/on/demandware.static/-/Sites-pandora-master-catalog/default/dwbb259ca6/productimages/singlepackshot/163427C00_RGB.png","mode":1}</v>
      </c>
      <c r="D264" s="5" t="str">
        <f ca="1">IFERROR(ROWSDUMMYFUNCTION(IF(A264="","",CONCATENATE("https://us.pandora.net/on/demandware.static/-/Sites-pandora-master-catalog/default/dwbb259ca6/productimages/singlepackshot/",LEFT(A264,FIND("-",A264&amp;"-")-1),"_RGB.png"))),"https://us.pandora.net/on/demandware.static/-/Sites-pandora-master-catalog/default/dwbb259ca6/productimages/singlepackshot/163427C00_RGB.png")</f>
        <v>https://us.pandora.net/on/demandware.static/-/Sites-pandora-master-catalog/default/dwbb259ca6/productimages/singlepackshot/163427C00_RGB.png</v>
      </c>
    </row>
    <row r="265" spans="1:4" x14ac:dyDescent="0.25">
      <c r="A265" s="3" t="s">
        <v>267</v>
      </c>
      <c r="B265" s="4">
        <v>89</v>
      </c>
      <c r="C265" s="3" t="str">
        <f ca="1">IFERROR(ROWSDUMMYFUNCTION(IF(A265="","",IFERROR(IMAGE(CONCATENATE("https://us.pandora.net/on/demandware.static/-/Sites-pandora-master-catalog/default/dwbb259ca6/productimages/singlepackshot/",LEFT(A265,FIND("-",A265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65" s="5" t="str">
        <f ca="1">IFERROR(ROWSDUMMYFUNCTION(IF(A265="","",CONCATENATE("https://us.pandora.net/on/demandware.static/-/Sites-pandora-master-catalog/default/dwbb259ca6/productimages/singlepackshot/",LEFT(A265,FIND("-",A265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66" spans="1:4" x14ac:dyDescent="0.25">
      <c r="A266" s="3" t="s">
        <v>268</v>
      </c>
      <c r="B266" s="4">
        <v>89</v>
      </c>
      <c r="C266" s="3" t="str">
        <f ca="1">IFERROR(ROWSDUMMYFUNCTION(IF(A266="","",IFERROR(IMAGE(CONCATENATE("https://us.pandora.net/on/demandware.static/-/Sites-pandora-master-catalog/default/dwbb259ca6/productimages/singlepackshot/",LEFT(A266,FIND("-",A266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66" s="5" t="str">
        <f ca="1">IFERROR(ROWSDUMMYFUNCTION(IF(A266="","",CONCATENATE("https://us.pandora.net/on/demandware.static/-/Sites-pandora-master-catalog/default/dwbb259ca6/productimages/singlepackshot/",LEFT(A266,FIND("-",A266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67" spans="1:4" x14ac:dyDescent="0.25">
      <c r="A267" s="3" t="s">
        <v>269</v>
      </c>
      <c r="B267" s="4">
        <v>89</v>
      </c>
      <c r="C267" s="3" t="str">
        <f ca="1">IFERROR(ROWSDUMMYFUNCTION(IF(A267="","",IFERROR(IMAGE(CONCATENATE("https://us.pandora.net/on/demandware.static/-/Sites-pandora-master-catalog/default/dwbb259ca6/productimages/singlepackshot/",LEFT(A267,FIND("-",A267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67" s="5" t="str">
        <f ca="1">IFERROR(ROWSDUMMYFUNCTION(IF(A267="","",CONCATENATE("https://us.pandora.net/on/demandware.static/-/Sites-pandora-master-catalog/default/dwbb259ca6/productimages/singlepackshot/",LEFT(A267,FIND("-",A267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68" spans="1:4" x14ac:dyDescent="0.25">
      <c r="A268" s="3" t="s">
        <v>270</v>
      </c>
      <c r="B268" s="4">
        <v>89</v>
      </c>
      <c r="C268" s="3" t="str">
        <f ca="1">IFERROR(ROWSDUMMYFUNCTION(IF(A268="","",IFERROR(IMAGE(CONCATENATE("https://us.pandora.net/on/demandware.static/-/Sites-pandora-master-catalog/default/dwbb259ca6/productimages/singlepackshot/",LEFT(A268,FIND("-",A268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68" s="5" t="str">
        <f ca="1">IFERROR(ROWSDUMMYFUNCTION(IF(A268="","",CONCATENATE("https://us.pandora.net/on/demandware.static/-/Sites-pandora-master-catalog/default/dwbb259ca6/productimages/singlepackshot/",LEFT(A268,FIND("-",A268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69" spans="1:4" x14ac:dyDescent="0.25">
      <c r="A269" s="3" t="s">
        <v>271</v>
      </c>
      <c r="B269" s="4">
        <v>89</v>
      </c>
      <c r="C269" s="3" t="str">
        <f ca="1">IFERROR(ROWSDUMMYFUNCTION(IF(A269="","",IFERROR(IMAGE(CONCATENATE("https://us.pandora.net/on/demandware.static/-/Sites-pandora-master-catalog/default/dwbb259ca6/productimages/singlepackshot/",LEFT(A269,FIND("-",A269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69" s="5" t="str">
        <f ca="1">IFERROR(ROWSDUMMYFUNCTION(IF(A269="","",CONCATENATE("https://us.pandora.net/on/demandware.static/-/Sites-pandora-master-catalog/default/dwbb259ca6/productimages/singlepackshot/",LEFT(A269,FIND("-",A269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70" spans="1:4" x14ac:dyDescent="0.25">
      <c r="A270" s="3" t="s">
        <v>272</v>
      </c>
      <c r="B270" s="4">
        <v>89</v>
      </c>
      <c r="C270" s="3" t="str">
        <f ca="1">IFERROR(ROWSDUMMYFUNCTION(IF(A270="","",IFERROR(IMAGE(CONCATENATE("https://us.pandora.net/on/demandware.static/-/Sites-pandora-master-catalog/default/dwbb259ca6/productimages/singlepackshot/",LEFT(A270,FIND("-",A270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70" s="5" t="str">
        <f ca="1">IFERROR(ROWSDUMMYFUNCTION(IF(A270="","",CONCATENATE("https://us.pandora.net/on/demandware.static/-/Sites-pandora-master-catalog/default/dwbb259ca6/productimages/singlepackshot/",LEFT(A270,FIND("-",A270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71" spans="1:4" x14ac:dyDescent="0.25">
      <c r="A271" s="3" t="s">
        <v>273</v>
      </c>
      <c r="B271" s="4">
        <v>89</v>
      </c>
      <c r="C271" s="3" t="str">
        <f ca="1">IFERROR(ROWSDUMMYFUNCTION(IF(A271="","",IFERROR(IMAGE(CONCATENATE("https://us.pandora.net/on/demandware.static/-/Sites-pandora-master-catalog/default/dwbb259ca6/productimages/singlepackshot/",LEFT(A271,FIND("-",A271&amp;"-")-1),"_RGB.png")),""))),"{""url"":""https://us.pandora.net/on/demandware.static/-/Sites-pandora-master-catalog/default/dwbb259ca6/productimages/singlepackshot/163510C01_RGB.png"",""mode"":1}")</f>
        <v>{"url":"https://us.pandora.net/on/demandware.static/-/Sites-pandora-master-catalog/default/dwbb259ca6/productimages/singlepackshot/163510C01_RGB.png","mode":1}</v>
      </c>
      <c r="D271" s="5" t="str">
        <f ca="1">IFERROR(ROWSDUMMYFUNCTION(IF(A271="","",CONCATENATE("https://us.pandora.net/on/demandware.static/-/Sites-pandora-master-catalog/default/dwbb259ca6/productimages/singlepackshot/",LEFT(A271,FIND("-",A271&amp;"-")-1),"_RGB.png"))),"https://us.pandora.net/on/demandware.static/-/Sites-pandora-master-catalog/default/dwbb259ca6/productimages/singlepackshot/163510C01_RGB.png")</f>
        <v>https://us.pandora.net/on/demandware.static/-/Sites-pandora-master-catalog/default/dwbb259ca6/productimages/singlepackshot/163510C01_RGB.png</v>
      </c>
    </row>
    <row r="272" spans="1:4" x14ac:dyDescent="0.25">
      <c r="A272" s="3" t="s">
        <v>274</v>
      </c>
      <c r="B272" s="4">
        <v>129</v>
      </c>
      <c r="C272" s="3" t="str">
        <f ca="1">IFERROR(ROWSDUMMYFUNCTION(IF(A272="","",IFERROR(IMAGE(CONCATENATE("https://us.pandora.net/on/demandware.static/-/Sites-pandora-master-catalog/default/dwbb259ca6/productimages/singlepackshot/",LEFT(A272,FIND("-",A272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2" s="5" t="str">
        <f ca="1">IFERROR(ROWSDUMMYFUNCTION(IF(A272="","",CONCATENATE("https://us.pandora.net/on/demandware.static/-/Sites-pandora-master-catalog/default/dwbb259ca6/productimages/singlepackshot/",LEFT(A272,FIND("-",A272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3" spans="1:4" x14ac:dyDescent="0.25">
      <c r="A273" s="3" t="s">
        <v>275</v>
      </c>
      <c r="B273" s="4">
        <v>129</v>
      </c>
      <c r="C273" s="3" t="str">
        <f ca="1">IFERROR(ROWSDUMMYFUNCTION(IF(A273="","",IFERROR(IMAGE(CONCATENATE("https://us.pandora.net/on/demandware.static/-/Sites-pandora-master-catalog/default/dwbb259ca6/productimages/singlepackshot/",LEFT(A273,FIND("-",A273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3" s="5" t="str">
        <f ca="1">IFERROR(ROWSDUMMYFUNCTION(IF(A273="","",CONCATENATE("https://us.pandora.net/on/demandware.static/-/Sites-pandora-master-catalog/default/dwbb259ca6/productimages/singlepackshot/",LEFT(A273,FIND("-",A273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4" spans="1:4" x14ac:dyDescent="0.25">
      <c r="A274" s="3" t="s">
        <v>276</v>
      </c>
      <c r="B274" s="4">
        <v>129</v>
      </c>
      <c r="C274" s="3" t="str">
        <f ca="1">IFERROR(ROWSDUMMYFUNCTION(IF(A274="","",IFERROR(IMAGE(CONCATENATE("https://us.pandora.net/on/demandware.static/-/Sites-pandora-master-catalog/default/dwbb259ca6/productimages/singlepackshot/",LEFT(A274,FIND("-",A274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4" s="5" t="str">
        <f ca="1">IFERROR(ROWSDUMMYFUNCTION(IF(A274="","",CONCATENATE("https://us.pandora.net/on/demandware.static/-/Sites-pandora-master-catalog/default/dwbb259ca6/productimages/singlepackshot/",LEFT(A274,FIND("-",A274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5" spans="1:4" x14ac:dyDescent="0.25">
      <c r="A275" s="3" t="s">
        <v>277</v>
      </c>
      <c r="B275" s="4">
        <v>129</v>
      </c>
      <c r="C275" s="3" t="str">
        <f ca="1">IFERROR(ROWSDUMMYFUNCTION(IF(A275="","",IFERROR(IMAGE(CONCATENATE("https://us.pandora.net/on/demandware.static/-/Sites-pandora-master-catalog/default/dwbb259ca6/productimages/singlepackshot/",LEFT(A275,FIND("-",A275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5" s="5" t="str">
        <f ca="1">IFERROR(ROWSDUMMYFUNCTION(IF(A275="","",CONCATENATE("https://us.pandora.net/on/demandware.static/-/Sites-pandora-master-catalog/default/dwbb259ca6/productimages/singlepackshot/",LEFT(A275,FIND("-",A275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6" spans="1:4" x14ac:dyDescent="0.25">
      <c r="A276" s="3" t="s">
        <v>278</v>
      </c>
      <c r="B276" s="4">
        <v>129</v>
      </c>
      <c r="C276" s="3" t="str">
        <f ca="1">IFERROR(ROWSDUMMYFUNCTION(IF(A276="","",IFERROR(IMAGE(CONCATENATE("https://us.pandora.net/on/demandware.static/-/Sites-pandora-master-catalog/default/dwbb259ca6/productimages/singlepackshot/",LEFT(A276,FIND("-",A276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6" s="5" t="str">
        <f ca="1">IFERROR(ROWSDUMMYFUNCTION(IF(A276="","",CONCATENATE("https://us.pandora.net/on/demandware.static/-/Sites-pandora-master-catalog/default/dwbb259ca6/productimages/singlepackshot/",LEFT(A276,FIND("-",A276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7" spans="1:4" x14ac:dyDescent="0.25">
      <c r="A277" s="3" t="s">
        <v>279</v>
      </c>
      <c r="B277" s="4">
        <v>129</v>
      </c>
      <c r="C277" s="3" t="str">
        <f ca="1">IFERROR(ROWSDUMMYFUNCTION(IF(A277="","",IFERROR(IMAGE(CONCATENATE("https://us.pandora.net/on/demandware.static/-/Sites-pandora-master-catalog/default/dwbb259ca6/productimages/singlepackshot/",LEFT(A277,FIND("-",A277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7" s="5" t="str">
        <f ca="1">IFERROR(ROWSDUMMYFUNCTION(IF(A277="","",CONCATENATE("https://us.pandora.net/on/demandware.static/-/Sites-pandora-master-catalog/default/dwbb259ca6/productimages/singlepackshot/",LEFT(A277,FIND("-",A277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8" spans="1:4" x14ac:dyDescent="0.25">
      <c r="A278" s="3" t="s">
        <v>280</v>
      </c>
      <c r="B278" s="4">
        <v>129</v>
      </c>
      <c r="C278" s="3" t="str">
        <f ca="1">IFERROR(ROWSDUMMYFUNCTION(IF(A278="","",IFERROR(IMAGE(CONCATENATE("https://us.pandora.net/on/demandware.static/-/Sites-pandora-master-catalog/default/dwbb259ca6/productimages/singlepackshot/",LEFT(A278,FIND("-",A278&amp;"-")-1),"_RGB.png")),""))),"{""url"":""https://us.pandora.net/on/demandware.static/-/Sites-pandora-master-catalog/default/dwbb259ca6/productimages/singlepackshot/163511C01_RGB.png"",""mode"":1}")</f>
        <v>{"url":"https://us.pandora.net/on/demandware.static/-/Sites-pandora-master-catalog/default/dwbb259ca6/productimages/singlepackshot/163511C01_RGB.png","mode":1}</v>
      </c>
      <c r="D278" s="5" t="str">
        <f ca="1">IFERROR(ROWSDUMMYFUNCTION(IF(A278="","",CONCATENATE("https://us.pandora.net/on/demandware.static/-/Sites-pandora-master-catalog/default/dwbb259ca6/productimages/singlepackshot/",LEFT(A278,FIND("-",A278&amp;"-")-1),"_RGB.png"))),"https://us.pandora.net/on/demandware.static/-/Sites-pandora-master-catalog/default/dwbb259ca6/productimages/singlepackshot/163511C01_RGB.png")</f>
        <v>https://us.pandora.net/on/demandware.static/-/Sites-pandora-master-catalog/default/dwbb259ca6/productimages/singlepackshot/163511C01_RGB.png</v>
      </c>
    </row>
    <row r="279" spans="1:4" x14ac:dyDescent="0.25">
      <c r="A279" s="3" t="s">
        <v>281</v>
      </c>
      <c r="B279" s="4">
        <v>99</v>
      </c>
      <c r="C279" s="3" t="str">
        <f ca="1">IFERROR(ROWSDUMMYFUNCTION(IF(A279="","",IFERROR(IMAGE(CONCATENATE("https://us.pandora.net/on/demandware.static/-/Sites-pandora-master-catalog/default/dwbb259ca6/productimages/singlepackshot/",LEFT(A279,FIND("-",A279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79" s="5" t="str">
        <f ca="1">IFERROR(ROWSDUMMYFUNCTION(IF(A279="","",CONCATENATE("https://us.pandora.net/on/demandware.static/-/Sites-pandora-master-catalog/default/dwbb259ca6/productimages/singlepackshot/",LEFT(A279,FIND("-",A279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0" spans="1:4" x14ac:dyDescent="0.25">
      <c r="A280" s="3" t="s">
        <v>282</v>
      </c>
      <c r="B280" s="4">
        <v>99</v>
      </c>
      <c r="C280" s="3" t="str">
        <f ca="1">IFERROR(ROWSDUMMYFUNCTION(IF(A280="","",IFERROR(IMAGE(CONCATENATE("https://us.pandora.net/on/demandware.static/-/Sites-pandora-master-catalog/default/dwbb259ca6/productimages/singlepackshot/",LEFT(A280,FIND("-",A280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80" s="5" t="str">
        <f ca="1">IFERROR(ROWSDUMMYFUNCTION(IF(A280="","",CONCATENATE("https://us.pandora.net/on/demandware.static/-/Sites-pandora-master-catalog/default/dwbb259ca6/productimages/singlepackshot/",LEFT(A280,FIND("-",A280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1" spans="1:4" x14ac:dyDescent="0.25">
      <c r="A281" s="3" t="s">
        <v>283</v>
      </c>
      <c r="B281" s="4">
        <v>99</v>
      </c>
      <c r="C281" s="3" t="str">
        <f ca="1">IFERROR(ROWSDUMMYFUNCTION(IF(A281="","",IFERROR(IMAGE(CONCATENATE("https://us.pandora.net/on/demandware.static/-/Sites-pandora-master-catalog/default/dwbb259ca6/productimages/singlepackshot/",LEFT(A281,FIND("-",A281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81" s="5" t="str">
        <f ca="1">IFERROR(ROWSDUMMYFUNCTION(IF(A281="","",CONCATENATE("https://us.pandora.net/on/demandware.static/-/Sites-pandora-master-catalog/default/dwbb259ca6/productimages/singlepackshot/",LEFT(A281,FIND("-",A281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2" spans="1:4" x14ac:dyDescent="0.25">
      <c r="A282" s="3" t="s">
        <v>284</v>
      </c>
      <c r="B282" s="4">
        <v>99</v>
      </c>
      <c r="C282" s="3" t="str">
        <f ca="1">IFERROR(ROWSDUMMYFUNCTION(IF(A282="","",IFERROR(IMAGE(CONCATENATE("https://us.pandora.net/on/demandware.static/-/Sites-pandora-master-catalog/default/dwbb259ca6/productimages/singlepackshot/",LEFT(A282,FIND("-",A282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82" s="5" t="str">
        <f ca="1">IFERROR(ROWSDUMMYFUNCTION(IF(A282="","",CONCATENATE("https://us.pandora.net/on/demandware.static/-/Sites-pandora-master-catalog/default/dwbb259ca6/productimages/singlepackshot/",LEFT(A282,FIND("-",A282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3" spans="1:4" x14ac:dyDescent="0.25">
      <c r="A283" s="3" t="s">
        <v>285</v>
      </c>
      <c r="B283" s="4">
        <v>99</v>
      </c>
      <c r="C283" s="3" t="str">
        <f ca="1">IFERROR(ROWSDUMMYFUNCTION(IF(A283="","",IFERROR(IMAGE(CONCATENATE("https://us.pandora.net/on/demandware.static/-/Sites-pandora-master-catalog/default/dwbb259ca6/productimages/singlepackshot/",LEFT(A283,FIND("-",A283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83" s="5" t="str">
        <f ca="1">IFERROR(ROWSDUMMYFUNCTION(IF(A283="","",CONCATENATE("https://us.pandora.net/on/demandware.static/-/Sites-pandora-master-catalog/default/dwbb259ca6/productimages/singlepackshot/",LEFT(A283,FIND("-",A283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4" spans="1:4" x14ac:dyDescent="0.25">
      <c r="A284" s="3" t="s">
        <v>286</v>
      </c>
      <c r="B284" s="4">
        <v>99</v>
      </c>
      <c r="C284" s="3" t="str">
        <f ca="1">IFERROR(ROWSDUMMYFUNCTION(IF(A284="","",IFERROR(IMAGE(CONCATENATE("https://us.pandora.net/on/demandware.static/-/Sites-pandora-master-catalog/default/dwbb259ca6/productimages/singlepackshot/",LEFT(A284,FIND("-",A284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84" s="5" t="str">
        <f ca="1">IFERROR(ROWSDUMMYFUNCTION(IF(A284="","",CONCATENATE("https://us.pandora.net/on/demandware.static/-/Sites-pandora-master-catalog/default/dwbb259ca6/productimages/singlepackshot/",LEFT(A284,FIND("-",A284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5" spans="1:4" x14ac:dyDescent="0.25">
      <c r="A285" s="3" t="s">
        <v>287</v>
      </c>
      <c r="B285" s="4">
        <v>99</v>
      </c>
      <c r="C285" s="3" t="str">
        <f ca="1">IFERROR(ROWSDUMMYFUNCTION(IF(A285="","",IFERROR(IMAGE(CONCATENATE("https://us.pandora.net/on/demandware.static/-/Sites-pandora-master-catalog/default/dwbb259ca6/productimages/singlepackshot/",LEFT(A285,FIND("-",A285&amp;"-")-1),"_RGB.png")),""))),"{""url"":""https://us.pandora.net/on/demandware.static/-/Sites-pandora-master-catalog/default/dwbb259ca6/productimages/singlepackshot/163552C01_RGB.png"",""mode"":1}")</f>
        <v>{"url":"https://us.pandora.net/on/demandware.static/-/Sites-pandora-master-catalog/default/dwbb259ca6/productimages/singlepackshot/163552C01_RGB.png","mode":1}</v>
      </c>
      <c r="D285" s="5" t="str">
        <f ca="1">IFERROR(ROWSDUMMYFUNCTION(IF(A285="","",CONCATENATE("https://us.pandora.net/on/demandware.static/-/Sites-pandora-master-catalog/default/dwbb259ca6/productimages/singlepackshot/",LEFT(A285,FIND("-",A285&amp;"-")-1),"_RGB.png"))),"https://us.pandora.net/on/demandware.static/-/Sites-pandora-master-catalog/default/dwbb259ca6/productimages/singlepackshot/163552C01_RGB.png")</f>
        <v>https://us.pandora.net/on/demandware.static/-/Sites-pandora-master-catalog/default/dwbb259ca6/productimages/singlepackshot/163552C01_RGB.png</v>
      </c>
    </row>
    <row r="286" spans="1:4" x14ac:dyDescent="0.25">
      <c r="A286" s="3" t="s">
        <v>288</v>
      </c>
      <c r="B286" s="4">
        <v>69</v>
      </c>
      <c r="C286" s="3" t="str">
        <f ca="1">IFERROR(ROWSDUMMYFUNCTION(IF(A286="","",IFERROR(IMAGE(CONCATENATE("https://us.pandora.net/on/demandware.static/-/Sites-pandora-master-catalog/default/dwbb259ca6/productimages/singlepackshot/",LEFT(A286,FIND("-",A286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86" s="5" t="str">
        <f ca="1">IFERROR(ROWSDUMMYFUNCTION(IF(A286="","",CONCATENATE("https://us.pandora.net/on/demandware.static/-/Sites-pandora-master-catalog/default/dwbb259ca6/productimages/singlepackshot/",LEFT(A286,FIND("-",A286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87" spans="1:4" x14ac:dyDescent="0.25">
      <c r="A287" s="3" t="s">
        <v>289</v>
      </c>
      <c r="B287" s="4">
        <v>69</v>
      </c>
      <c r="C287" s="3" t="str">
        <f ca="1">IFERROR(ROWSDUMMYFUNCTION(IF(A287="","",IFERROR(IMAGE(CONCATENATE("https://us.pandora.net/on/demandware.static/-/Sites-pandora-master-catalog/default/dwbb259ca6/productimages/singlepackshot/",LEFT(A287,FIND("-",A287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87" s="5" t="str">
        <f ca="1">IFERROR(ROWSDUMMYFUNCTION(IF(A287="","",CONCATENATE("https://us.pandora.net/on/demandware.static/-/Sites-pandora-master-catalog/default/dwbb259ca6/productimages/singlepackshot/",LEFT(A287,FIND("-",A287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88" spans="1:4" x14ac:dyDescent="0.25">
      <c r="A288" s="3" t="s">
        <v>290</v>
      </c>
      <c r="B288" s="4">
        <v>69</v>
      </c>
      <c r="C288" s="3" t="str">
        <f ca="1">IFERROR(ROWSDUMMYFUNCTION(IF(A288="","",IFERROR(IMAGE(CONCATENATE("https://us.pandora.net/on/demandware.static/-/Sites-pandora-master-catalog/default/dwbb259ca6/productimages/singlepackshot/",LEFT(A288,FIND("-",A288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88" s="5" t="str">
        <f ca="1">IFERROR(ROWSDUMMYFUNCTION(IF(A288="","",CONCATENATE("https://us.pandora.net/on/demandware.static/-/Sites-pandora-master-catalog/default/dwbb259ca6/productimages/singlepackshot/",LEFT(A288,FIND("-",A288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89" spans="1:4" x14ac:dyDescent="0.25">
      <c r="A289" s="3" t="s">
        <v>291</v>
      </c>
      <c r="B289" s="4">
        <v>69</v>
      </c>
      <c r="C289" s="3" t="str">
        <f ca="1">IFERROR(ROWSDUMMYFUNCTION(IF(A289="","",IFERROR(IMAGE(CONCATENATE("https://us.pandora.net/on/demandware.static/-/Sites-pandora-master-catalog/default/dwbb259ca6/productimages/singlepackshot/",LEFT(A289,FIND("-",A289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89" s="5" t="str">
        <f ca="1">IFERROR(ROWSDUMMYFUNCTION(IF(A289="","",CONCATENATE("https://us.pandora.net/on/demandware.static/-/Sites-pandora-master-catalog/default/dwbb259ca6/productimages/singlepackshot/",LEFT(A289,FIND("-",A289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90" spans="1:4" x14ac:dyDescent="0.25">
      <c r="A290" s="3" t="s">
        <v>292</v>
      </c>
      <c r="B290" s="4">
        <v>69</v>
      </c>
      <c r="C290" s="3" t="str">
        <f ca="1">IFERROR(ROWSDUMMYFUNCTION(IF(A290="","",IFERROR(IMAGE(CONCATENATE("https://us.pandora.net/on/demandware.static/-/Sites-pandora-master-catalog/default/dwbb259ca6/productimages/singlepackshot/",LEFT(A290,FIND("-",A290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90" s="5" t="str">
        <f ca="1">IFERROR(ROWSDUMMYFUNCTION(IF(A290="","",CONCATENATE("https://us.pandora.net/on/demandware.static/-/Sites-pandora-master-catalog/default/dwbb259ca6/productimages/singlepackshot/",LEFT(A290,FIND("-",A290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91" spans="1:4" x14ac:dyDescent="0.25">
      <c r="A291" s="3" t="s">
        <v>293</v>
      </c>
      <c r="B291" s="4">
        <v>69</v>
      </c>
      <c r="C291" s="3" t="str">
        <f ca="1">IFERROR(ROWSDUMMYFUNCTION(IF(A291="","",IFERROR(IMAGE(CONCATENATE("https://us.pandora.net/on/demandware.static/-/Sites-pandora-master-catalog/default/dwbb259ca6/productimages/singlepackshot/",LEFT(A291,FIND("-",A291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91" s="5" t="str">
        <f ca="1">IFERROR(ROWSDUMMYFUNCTION(IF(A291="","",CONCATENATE("https://us.pandora.net/on/demandware.static/-/Sites-pandora-master-catalog/default/dwbb259ca6/productimages/singlepackshot/",LEFT(A291,FIND("-",A291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92" spans="1:4" x14ac:dyDescent="0.25">
      <c r="A292" s="3" t="s">
        <v>294</v>
      </c>
      <c r="B292" s="4">
        <v>69</v>
      </c>
      <c r="C292" s="3" t="str">
        <f ca="1">IFERROR(ROWSDUMMYFUNCTION(IF(A292="","",IFERROR(IMAGE(CONCATENATE("https://us.pandora.net/on/demandware.static/-/Sites-pandora-master-catalog/default/dwbb259ca6/productimages/singlepackshot/",LEFT(A292,FIND("-",A292&amp;"-")-1),"_RGB.png")),""))),"{""url"":""https://us.pandora.net/on/demandware.static/-/Sites-pandora-master-catalog/default/dwbb259ca6/productimages/singlepackshot/163554C01_RGB.png"",""mode"":1}")</f>
        <v>{"url":"https://us.pandora.net/on/demandware.static/-/Sites-pandora-master-catalog/default/dwbb259ca6/productimages/singlepackshot/163554C01_RGB.png","mode":1}</v>
      </c>
      <c r="D292" s="5" t="str">
        <f ca="1">IFERROR(ROWSDUMMYFUNCTION(IF(A292="","",CONCATENATE("https://us.pandora.net/on/demandware.static/-/Sites-pandora-master-catalog/default/dwbb259ca6/productimages/singlepackshot/",LEFT(A292,FIND("-",A292&amp;"-")-1),"_RGB.png"))),"https://us.pandora.net/on/demandware.static/-/Sites-pandora-master-catalog/default/dwbb259ca6/productimages/singlepackshot/163554C01_RGB.png")</f>
        <v>https://us.pandora.net/on/demandware.static/-/Sites-pandora-master-catalog/default/dwbb259ca6/productimages/singlepackshot/163554C01_RGB.png</v>
      </c>
    </row>
    <row r="293" spans="1:4" x14ac:dyDescent="0.25">
      <c r="A293" s="3" t="s">
        <v>295</v>
      </c>
      <c r="B293" s="4">
        <v>99</v>
      </c>
      <c r="C293" s="3" t="str">
        <f ca="1">IFERROR(ROWSDUMMYFUNCTION(IF(A293="","",IFERROR(IMAGE(CONCATENATE("https://us.pandora.net/on/demandware.static/-/Sites-pandora-master-catalog/default/dwbb259ca6/productimages/singlepackshot/",LEFT(A293,FIND("-",A293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3" s="5" t="str">
        <f ca="1">IFERROR(ROWSDUMMYFUNCTION(IF(A293="","",CONCATENATE("https://us.pandora.net/on/demandware.static/-/Sites-pandora-master-catalog/default/dwbb259ca6/productimages/singlepackshot/",LEFT(A293,FIND("-",A293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294" spans="1:4" x14ac:dyDescent="0.25">
      <c r="A294" s="3" t="s">
        <v>296</v>
      </c>
      <c r="B294" s="4">
        <v>99</v>
      </c>
      <c r="C294" s="3" t="str">
        <f ca="1">IFERROR(ROWSDUMMYFUNCTION(IF(A294="","",IFERROR(IMAGE(CONCATENATE("https://us.pandora.net/on/demandware.static/-/Sites-pandora-master-catalog/default/dwbb259ca6/productimages/singlepackshot/",LEFT(A294,FIND("-",A294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4" s="5" t="str">
        <f ca="1">IFERROR(ROWSDUMMYFUNCTION(IF(A294="","",CONCATENATE("https://us.pandora.net/on/demandware.static/-/Sites-pandora-master-catalog/default/dwbb259ca6/productimages/singlepackshot/",LEFT(A294,FIND("-",A294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295" spans="1:4" x14ac:dyDescent="0.25">
      <c r="A295" s="3" t="s">
        <v>297</v>
      </c>
      <c r="B295" s="4">
        <v>99</v>
      </c>
      <c r="C295" s="3" t="str">
        <f ca="1">IFERROR(ROWSDUMMYFUNCTION(IF(A295="","",IFERROR(IMAGE(CONCATENATE("https://us.pandora.net/on/demandware.static/-/Sites-pandora-master-catalog/default/dwbb259ca6/productimages/singlepackshot/",LEFT(A295,FIND("-",A295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5" s="5" t="str">
        <f ca="1">IFERROR(ROWSDUMMYFUNCTION(IF(A295="","",CONCATENATE("https://us.pandora.net/on/demandware.static/-/Sites-pandora-master-catalog/default/dwbb259ca6/productimages/singlepackshot/",LEFT(A295,FIND("-",A295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296" spans="1:4" x14ac:dyDescent="0.25">
      <c r="A296" s="3" t="s">
        <v>298</v>
      </c>
      <c r="B296" s="4">
        <v>99</v>
      </c>
      <c r="C296" s="3" t="str">
        <f ca="1">IFERROR(ROWSDUMMYFUNCTION(IF(A296="","",IFERROR(IMAGE(CONCATENATE("https://us.pandora.net/on/demandware.static/-/Sites-pandora-master-catalog/default/dwbb259ca6/productimages/singlepackshot/",LEFT(A296,FIND("-",A296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6" s="5" t="str">
        <f ca="1">IFERROR(ROWSDUMMYFUNCTION(IF(A296="","",CONCATENATE("https://us.pandora.net/on/demandware.static/-/Sites-pandora-master-catalog/default/dwbb259ca6/productimages/singlepackshot/",LEFT(A296,FIND("-",A296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297" spans="1:4" x14ac:dyDescent="0.25">
      <c r="A297" s="3" t="s">
        <v>299</v>
      </c>
      <c r="B297" s="4">
        <v>99</v>
      </c>
      <c r="C297" s="3" t="str">
        <f ca="1">IFERROR(ROWSDUMMYFUNCTION(IF(A297="","",IFERROR(IMAGE(CONCATENATE("https://us.pandora.net/on/demandware.static/-/Sites-pandora-master-catalog/default/dwbb259ca6/productimages/singlepackshot/",LEFT(A297,FIND("-",A297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7" s="5" t="str">
        <f ca="1">IFERROR(ROWSDUMMYFUNCTION(IF(A297="","",CONCATENATE("https://us.pandora.net/on/demandware.static/-/Sites-pandora-master-catalog/default/dwbb259ca6/productimages/singlepackshot/",LEFT(A297,FIND("-",A297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298" spans="1:4" x14ac:dyDescent="0.25">
      <c r="A298" s="3" t="s">
        <v>300</v>
      </c>
      <c r="B298" s="4">
        <v>99</v>
      </c>
      <c r="C298" s="3" t="str">
        <f ca="1">IFERROR(ROWSDUMMYFUNCTION(IF(A298="","",IFERROR(IMAGE(CONCATENATE("https://us.pandora.net/on/demandware.static/-/Sites-pandora-master-catalog/default/dwbb259ca6/productimages/singlepackshot/",LEFT(A298,FIND("-",A298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8" s="5" t="str">
        <f ca="1">IFERROR(ROWSDUMMYFUNCTION(IF(A298="","",CONCATENATE("https://us.pandora.net/on/demandware.static/-/Sites-pandora-master-catalog/default/dwbb259ca6/productimages/singlepackshot/",LEFT(A298,FIND("-",A298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299" spans="1:4" x14ac:dyDescent="0.25">
      <c r="A299" s="3" t="s">
        <v>301</v>
      </c>
      <c r="B299" s="4">
        <v>99</v>
      </c>
      <c r="C299" s="3" t="str">
        <f ca="1">IFERROR(ROWSDUMMYFUNCTION(IF(A299="","",IFERROR(IMAGE(CONCATENATE("https://us.pandora.net/on/demandware.static/-/Sites-pandora-master-catalog/default/dwbb259ca6/productimages/singlepackshot/",LEFT(A299,FIND("-",A299&amp;"-")-1),"_RGB.png")),""))),"{""url"":""https://us.pandora.net/on/demandware.static/-/Sites-pandora-master-catalog/default/dwbb259ca6/productimages/singlepackshot/163555C01_RGB.png"",""mode"":1}")</f>
        <v>{"url":"https://us.pandora.net/on/demandware.static/-/Sites-pandora-master-catalog/default/dwbb259ca6/productimages/singlepackshot/163555C01_RGB.png","mode":1}</v>
      </c>
      <c r="D299" s="5" t="str">
        <f ca="1">IFERROR(ROWSDUMMYFUNCTION(IF(A299="","",CONCATENATE("https://us.pandora.net/on/demandware.static/-/Sites-pandora-master-catalog/default/dwbb259ca6/productimages/singlepackshot/",LEFT(A299,FIND("-",A299&amp;"-")-1),"_RGB.png"))),"https://us.pandora.net/on/demandware.static/-/Sites-pandora-master-catalog/default/dwbb259ca6/productimages/singlepackshot/163555C01_RGB.png")</f>
        <v>https://us.pandora.net/on/demandware.static/-/Sites-pandora-master-catalog/default/dwbb259ca6/productimages/singlepackshot/163555C01_RGB.png</v>
      </c>
    </row>
    <row r="300" spans="1:4" x14ac:dyDescent="0.25">
      <c r="A300" s="3" t="s">
        <v>302</v>
      </c>
      <c r="B300" s="4">
        <v>129</v>
      </c>
      <c r="C300" s="3" t="str">
        <f ca="1">IFERROR(ROWSDUMMYFUNCTION(IF(A300="","",IFERROR(IMAGE(CONCATENATE("https://us.pandora.net/on/demandware.static/-/Sites-pandora-master-catalog/default/dwbb259ca6/productimages/singlepackshot/",LEFT(A300,FIND("-",A300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0" s="5" t="str">
        <f ca="1">IFERROR(ROWSDUMMYFUNCTION(IF(A300="","",CONCATENATE("https://us.pandora.net/on/demandware.static/-/Sites-pandora-master-catalog/default/dwbb259ca6/productimages/singlepackshot/",LEFT(A300,FIND("-",A300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1" spans="1:4" x14ac:dyDescent="0.25">
      <c r="A301" s="3" t="s">
        <v>303</v>
      </c>
      <c r="B301" s="4">
        <v>129</v>
      </c>
      <c r="C301" s="3" t="str">
        <f ca="1">IFERROR(ROWSDUMMYFUNCTION(IF(A301="","",IFERROR(IMAGE(CONCATENATE("https://us.pandora.net/on/demandware.static/-/Sites-pandora-master-catalog/default/dwbb259ca6/productimages/singlepackshot/",LEFT(A301,FIND("-",A301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1" s="5" t="str">
        <f ca="1">IFERROR(ROWSDUMMYFUNCTION(IF(A301="","",CONCATENATE("https://us.pandora.net/on/demandware.static/-/Sites-pandora-master-catalog/default/dwbb259ca6/productimages/singlepackshot/",LEFT(A301,FIND("-",A301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2" spans="1:4" x14ac:dyDescent="0.25">
      <c r="A302" s="3" t="s">
        <v>304</v>
      </c>
      <c r="B302" s="4">
        <v>129</v>
      </c>
      <c r="C302" s="3" t="str">
        <f ca="1">IFERROR(ROWSDUMMYFUNCTION(IF(A302="","",IFERROR(IMAGE(CONCATENATE("https://us.pandora.net/on/demandware.static/-/Sites-pandora-master-catalog/default/dwbb259ca6/productimages/singlepackshot/",LEFT(A302,FIND("-",A302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2" s="5" t="str">
        <f ca="1">IFERROR(ROWSDUMMYFUNCTION(IF(A302="","",CONCATENATE("https://us.pandora.net/on/demandware.static/-/Sites-pandora-master-catalog/default/dwbb259ca6/productimages/singlepackshot/",LEFT(A302,FIND("-",A302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3" spans="1:4" x14ac:dyDescent="0.25">
      <c r="A303" s="3" t="s">
        <v>305</v>
      </c>
      <c r="B303" s="4">
        <v>129</v>
      </c>
      <c r="C303" s="3" t="str">
        <f ca="1">IFERROR(ROWSDUMMYFUNCTION(IF(A303="","",IFERROR(IMAGE(CONCATENATE("https://us.pandora.net/on/demandware.static/-/Sites-pandora-master-catalog/default/dwbb259ca6/productimages/singlepackshot/",LEFT(A303,FIND("-",A303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3" s="5" t="str">
        <f ca="1">IFERROR(ROWSDUMMYFUNCTION(IF(A303="","",CONCATENATE("https://us.pandora.net/on/demandware.static/-/Sites-pandora-master-catalog/default/dwbb259ca6/productimages/singlepackshot/",LEFT(A303,FIND("-",A303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4" spans="1:4" x14ac:dyDescent="0.25">
      <c r="A304" s="3" t="s">
        <v>306</v>
      </c>
      <c r="B304" s="4">
        <v>129</v>
      </c>
      <c r="C304" s="3" t="str">
        <f ca="1">IFERROR(ROWSDUMMYFUNCTION(IF(A304="","",IFERROR(IMAGE(CONCATENATE("https://us.pandora.net/on/demandware.static/-/Sites-pandora-master-catalog/default/dwbb259ca6/productimages/singlepackshot/",LEFT(A304,FIND("-",A304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4" s="5" t="str">
        <f ca="1">IFERROR(ROWSDUMMYFUNCTION(IF(A304="","",CONCATENATE("https://us.pandora.net/on/demandware.static/-/Sites-pandora-master-catalog/default/dwbb259ca6/productimages/singlepackshot/",LEFT(A304,FIND("-",A304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5" spans="1:4" x14ac:dyDescent="0.25">
      <c r="A305" s="3" t="s">
        <v>307</v>
      </c>
      <c r="B305" s="4">
        <v>129</v>
      </c>
      <c r="C305" s="3" t="str">
        <f ca="1">IFERROR(ROWSDUMMYFUNCTION(IF(A305="","",IFERROR(IMAGE(CONCATENATE("https://us.pandora.net/on/demandware.static/-/Sites-pandora-master-catalog/default/dwbb259ca6/productimages/singlepackshot/",LEFT(A305,FIND("-",A305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5" s="5" t="str">
        <f ca="1">IFERROR(ROWSDUMMYFUNCTION(IF(A305="","",CONCATENATE("https://us.pandora.net/on/demandware.static/-/Sites-pandora-master-catalog/default/dwbb259ca6/productimages/singlepackshot/",LEFT(A305,FIND("-",A305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6" spans="1:4" x14ac:dyDescent="0.25">
      <c r="A306" s="3" t="s">
        <v>308</v>
      </c>
      <c r="B306" s="4">
        <v>129</v>
      </c>
      <c r="C306" s="3" t="str">
        <f ca="1">IFERROR(ROWSDUMMYFUNCTION(IF(A306="","",IFERROR(IMAGE(CONCATENATE("https://us.pandora.net/on/demandware.static/-/Sites-pandora-master-catalog/default/dwbb259ca6/productimages/singlepackshot/",LEFT(A306,FIND("-",A306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6" s="5" t="str">
        <f ca="1">IFERROR(ROWSDUMMYFUNCTION(IF(A306="","",CONCATENATE("https://us.pandora.net/on/demandware.static/-/Sites-pandora-master-catalog/default/dwbb259ca6/productimages/singlepackshot/",LEFT(A306,FIND("-",A306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7" spans="1:4" x14ac:dyDescent="0.25">
      <c r="A307" s="3" t="s">
        <v>309</v>
      </c>
      <c r="B307" s="4">
        <v>129</v>
      </c>
      <c r="C307" s="3" t="str">
        <f ca="1">IFERROR(ROWSDUMMYFUNCTION(IF(A307="","",IFERROR(IMAGE(CONCATENATE("https://us.pandora.net/on/demandware.static/-/Sites-pandora-master-catalog/default/dwbb259ca6/productimages/singlepackshot/",LEFT(A307,FIND("-",A307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7" s="5" t="str">
        <f ca="1">IFERROR(ROWSDUMMYFUNCTION(IF(A307="","",CONCATENATE("https://us.pandora.net/on/demandware.static/-/Sites-pandora-master-catalog/default/dwbb259ca6/productimages/singlepackshot/",LEFT(A307,FIND("-",A307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8" spans="1:4" x14ac:dyDescent="0.25">
      <c r="A308" s="3" t="s">
        <v>310</v>
      </c>
      <c r="B308" s="4">
        <v>129</v>
      </c>
      <c r="C308" s="3" t="str">
        <f ca="1">IFERROR(ROWSDUMMYFUNCTION(IF(A308="","",IFERROR(IMAGE(CONCATENATE("https://us.pandora.net/on/demandware.static/-/Sites-pandora-master-catalog/default/dwbb259ca6/productimages/singlepackshot/",LEFT(A308,FIND("-",A308&amp;"-")-1),"_RGB.png")),""))),"{""url"":""https://us.pandora.net/on/demandware.static/-/Sites-pandora-master-catalog/default/dwbb259ca6/productimages/singlepackshot/163557C01_RGB.png"",""mode"":1}")</f>
        <v>{"url":"https://us.pandora.net/on/demandware.static/-/Sites-pandora-master-catalog/default/dwbb259ca6/productimages/singlepackshot/163557C01_RGB.png","mode":1}</v>
      </c>
      <c r="D308" s="5" t="str">
        <f ca="1">IFERROR(ROWSDUMMYFUNCTION(IF(A308="","",CONCATENATE("https://us.pandora.net/on/demandware.static/-/Sites-pandora-master-catalog/default/dwbb259ca6/productimages/singlepackshot/",LEFT(A308,FIND("-",A308&amp;"-")-1),"_RGB.png"))),"https://us.pandora.net/on/demandware.static/-/Sites-pandora-master-catalog/default/dwbb259ca6/productimages/singlepackshot/163557C01_RGB.png")</f>
        <v>https://us.pandora.net/on/demandware.static/-/Sites-pandora-master-catalog/default/dwbb259ca6/productimages/singlepackshot/163557C01_RGB.png</v>
      </c>
    </row>
    <row r="309" spans="1:4" x14ac:dyDescent="0.25">
      <c r="A309" s="3" t="s">
        <v>311</v>
      </c>
      <c r="B309" s="4">
        <v>69</v>
      </c>
      <c r="C309" s="3" t="str">
        <f ca="1">IFERROR(ROWSDUMMYFUNCTION(IF(A309="","",IFERROR(IMAGE(CONCATENATE("https://us.pandora.net/on/demandware.static/-/Sites-pandora-master-catalog/default/dwbb259ca6/productimages/singlepackshot/",LEFT(A309,FIND("-",A309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09" s="5" t="str">
        <f ca="1">IFERROR(ROWSDUMMYFUNCTION(IF(A309="","",CONCATENATE("https://us.pandora.net/on/demandware.static/-/Sites-pandora-master-catalog/default/dwbb259ca6/productimages/singlepackshot/",LEFT(A309,FIND("-",A309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0" spans="1:4" x14ac:dyDescent="0.25">
      <c r="A310" s="3" t="s">
        <v>312</v>
      </c>
      <c r="B310" s="4">
        <v>69</v>
      </c>
      <c r="C310" s="3" t="str">
        <f ca="1">IFERROR(ROWSDUMMYFUNCTION(IF(A310="","",IFERROR(IMAGE(CONCATENATE("https://us.pandora.net/on/demandware.static/-/Sites-pandora-master-catalog/default/dwbb259ca6/productimages/singlepackshot/",LEFT(A310,FIND("-",A310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10" s="5" t="str">
        <f ca="1">IFERROR(ROWSDUMMYFUNCTION(IF(A310="","",CONCATENATE("https://us.pandora.net/on/demandware.static/-/Sites-pandora-master-catalog/default/dwbb259ca6/productimages/singlepackshot/",LEFT(A310,FIND("-",A310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1" spans="1:4" x14ac:dyDescent="0.25">
      <c r="A311" s="3" t="s">
        <v>313</v>
      </c>
      <c r="B311" s="4">
        <v>69</v>
      </c>
      <c r="C311" s="3" t="str">
        <f ca="1">IFERROR(ROWSDUMMYFUNCTION(IF(A311="","",IFERROR(IMAGE(CONCATENATE("https://us.pandora.net/on/demandware.static/-/Sites-pandora-master-catalog/default/dwbb259ca6/productimages/singlepackshot/",LEFT(A311,FIND("-",A311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11" s="5" t="str">
        <f ca="1">IFERROR(ROWSDUMMYFUNCTION(IF(A311="","",CONCATENATE("https://us.pandora.net/on/demandware.static/-/Sites-pandora-master-catalog/default/dwbb259ca6/productimages/singlepackshot/",LEFT(A311,FIND("-",A311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2" spans="1:4" x14ac:dyDescent="0.25">
      <c r="A312" s="3" t="s">
        <v>314</v>
      </c>
      <c r="B312" s="4">
        <v>69</v>
      </c>
      <c r="C312" s="3" t="str">
        <f ca="1">IFERROR(ROWSDUMMYFUNCTION(IF(A312="","",IFERROR(IMAGE(CONCATENATE("https://us.pandora.net/on/demandware.static/-/Sites-pandora-master-catalog/default/dwbb259ca6/productimages/singlepackshot/",LEFT(A312,FIND("-",A312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12" s="5" t="str">
        <f ca="1">IFERROR(ROWSDUMMYFUNCTION(IF(A312="","",CONCATENATE("https://us.pandora.net/on/demandware.static/-/Sites-pandora-master-catalog/default/dwbb259ca6/productimages/singlepackshot/",LEFT(A312,FIND("-",A312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3" spans="1:4" x14ac:dyDescent="0.25">
      <c r="A313" s="3" t="s">
        <v>315</v>
      </c>
      <c r="B313" s="4">
        <v>69</v>
      </c>
      <c r="C313" s="3" t="str">
        <f ca="1">IFERROR(ROWSDUMMYFUNCTION(IF(A313="","",IFERROR(IMAGE(CONCATENATE("https://us.pandora.net/on/demandware.static/-/Sites-pandora-master-catalog/default/dwbb259ca6/productimages/singlepackshot/",LEFT(A313,FIND("-",A313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13" s="5" t="str">
        <f ca="1">IFERROR(ROWSDUMMYFUNCTION(IF(A313="","",CONCATENATE("https://us.pandora.net/on/demandware.static/-/Sites-pandora-master-catalog/default/dwbb259ca6/productimages/singlepackshot/",LEFT(A313,FIND("-",A313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4" spans="1:4" x14ac:dyDescent="0.25">
      <c r="A314" s="3" t="s">
        <v>316</v>
      </c>
      <c r="B314" s="4">
        <v>69</v>
      </c>
      <c r="C314" s="3" t="str">
        <f ca="1">IFERROR(ROWSDUMMYFUNCTION(IF(A314="","",IFERROR(IMAGE(CONCATENATE("https://us.pandora.net/on/demandware.static/-/Sites-pandora-master-catalog/default/dwbb259ca6/productimages/singlepackshot/",LEFT(A314,FIND("-",A314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14" s="5" t="str">
        <f ca="1">IFERROR(ROWSDUMMYFUNCTION(IF(A314="","",CONCATENATE("https://us.pandora.net/on/demandware.static/-/Sites-pandora-master-catalog/default/dwbb259ca6/productimages/singlepackshot/",LEFT(A314,FIND("-",A314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5" spans="1:4" x14ac:dyDescent="0.25">
      <c r="A315" s="3" t="s">
        <v>317</v>
      </c>
      <c r="B315" s="4">
        <v>69</v>
      </c>
      <c r="C315" s="3" t="str">
        <f ca="1">IFERROR(ROWSDUMMYFUNCTION(IF(A315="","",IFERROR(IMAGE(CONCATENATE("https://us.pandora.net/on/demandware.static/-/Sites-pandora-master-catalog/default/dwbb259ca6/productimages/singlepackshot/",LEFT(A315,FIND("-",A315&amp;"-")-1),"_RGB.png")),""))),"{""url"":""https://us.pandora.net/on/demandware.static/-/Sites-pandora-master-catalog/default/dwbb259ca6/productimages/singlepackshot/163582C01_RGB.png"",""mode"":1}")</f>
        <v>{"url":"https://us.pandora.net/on/demandware.static/-/Sites-pandora-master-catalog/default/dwbb259ca6/productimages/singlepackshot/163582C01_RGB.png","mode":1}</v>
      </c>
      <c r="D315" s="5" t="str">
        <f ca="1">IFERROR(ROWSDUMMYFUNCTION(IF(A315="","",CONCATENATE("https://us.pandora.net/on/demandware.static/-/Sites-pandora-master-catalog/default/dwbb259ca6/productimages/singlepackshot/",LEFT(A315,FIND("-",A315&amp;"-")-1),"_RGB.png"))),"https://us.pandora.net/on/demandware.static/-/Sites-pandora-master-catalog/default/dwbb259ca6/productimages/singlepackshot/163582C01_RGB.png")</f>
        <v>https://us.pandora.net/on/demandware.static/-/Sites-pandora-master-catalog/default/dwbb259ca6/productimages/singlepackshot/163582C01_RGB.png</v>
      </c>
    </row>
    <row r="316" spans="1:4" x14ac:dyDescent="0.25">
      <c r="A316" s="3" t="s">
        <v>318</v>
      </c>
      <c r="B316" s="4">
        <v>89</v>
      </c>
      <c r="C316" s="3" t="str">
        <f ca="1">IFERROR(ROWSDUMMYFUNCTION(IF(A316="","",IFERROR(IMAGE(CONCATENATE("https://us.pandora.net/on/demandware.static/-/Sites-pandora-master-catalog/default/dwbb259ca6/productimages/singlepackshot/",LEFT(A316,FIND("-",A316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16" s="5" t="str">
        <f ca="1">IFERROR(ROWSDUMMYFUNCTION(IF(A316="","",CONCATENATE("https://us.pandora.net/on/demandware.static/-/Sites-pandora-master-catalog/default/dwbb259ca6/productimages/singlepackshot/",LEFT(A316,FIND("-",A316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17" spans="1:4" x14ac:dyDescent="0.25">
      <c r="A317" s="3" t="s">
        <v>319</v>
      </c>
      <c r="B317" s="4">
        <v>89</v>
      </c>
      <c r="C317" s="3" t="str">
        <f ca="1">IFERROR(ROWSDUMMYFUNCTION(IF(A317="","",IFERROR(IMAGE(CONCATENATE("https://us.pandora.net/on/demandware.static/-/Sites-pandora-master-catalog/default/dwbb259ca6/productimages/singlepackshot/",LEFT(A317,FIND("-",A317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17" s="5" t="str">
        <f ca="1">IFERROR(ROWSDUMMYFUNCTION(IF(A317="","",CONCATENATE("https://us.pandora.net/on/demandware.static/-/Sites-pandora-master-catalog/default/dwbb259ca6/productimages/singlepackshot/",LEFT(A317,FIND("-",A317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18" spans="1:4" x14ac:dyDescent="0.25">
      <c r="A318" s="3" t="s">
        <v>320</v>
      </c>
      <c r="B318" s="4">
        <v>89</v>
      </c>
      <c r="C318" s="3" t="str">
        <f ca="1">IFERROR(ROWSDUMMYFUNCTION(IF(A318="","",IFERROR(IMAGE(CONCATENATE("https://us.pandora.net/on/demandware.static/-/Sites-pandora-master-catalog/default/dwbb259ca6/productimages/singlepackshot/",LEFT(A318,FIND("-",A318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18" s="5" t="str">
        <f ca="1">IFERROR(ROWSDUMMYFUNCTION(IF(A318="","",CONCATENATE("https://us.pandora.net/on/demandware.static/-/Sites-pandora-master-catalog/default/dwbb259ca6/productimages/singlepackshot/",LEFT(A318,FIND("-",A318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19" spans="1:4" x14ac:dyDescent="0.25">
      <c r="A319" s="3" t="s">
        <v>321</v>
      </c>
      <c r="B319" s="4">
        <v>89</v>
      </c>
      <c r="C319" s="3" t="str">
        <f ca="1">IFERROR(ROWSDUMMYFUNCTION(IF(A319="","",IFERROR(IMAGE(CONCATENATE("https://us.pandora.net/on/demandware.static/-/Sites-pandora-master-catalog/default/dwbb259ca6/productimages/singlepackshot/",LEFT(A319,FIND("-",A319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19" s="5" t="str">
        <f ca="1">IFERROR(ROWSDUMMYFUNCTION(IF(A319="","",CONCATENATE("https://us.pandora.net/on/demandware.static/-/Sites-pandora-master-catalog/default/dwbb259ca6/productimages/singlepackshot/",LEFT(A319,FIND("-",A319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20" spans="1:4" x14ac:dyDescent="0.25">
      <c r="A320" s="3" t="s">
        <v>322</v>
      </c>
      <c r="B320" s="4">
        <v>89</v>
      </c>
      <c r="C320" s="3" t="str">
        <f ca="1">IFERROR(ROWSDUMMYFUNCTION(IF(A320="","",IFERROR(IMAGE(CONCATENATE("https://us.pandora.net/on/demandware.static/-/Sites-pandora-master-catalog/default/dwbb259ca6/productimages/singlepackshot/",LEFT(A320,FIND("-",A320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20" s="5" t="str">
        <f ca="1">IFERROR(ROWSDUMMYFUNCTION(IF(A320="","",CONCATENATE("https://us.pandora.net/on/demandware.static/-/Sites-pandora-master-catalog/default/dwbb259ca6/productimages/singlepackshot/",LEFT(A320,FIND("-",A320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21" spans="1:4" x14ac:dyDescent="0.25">
      <c r="A321" s="3" t="s">
        <v>323</v>
      </c>
      <c r="B321" s="4">
        <v>89</v>
      </c>
      <c r="C321" s="3" t="str">
        <f ca="1">IFERROR(ROWSDUMMYFUNCTION(IF(A321="","",IFERROR(IMAGE(CONCATENATE("https://us.pandora.net/on/demandware.static/-/Sites-pandora-master-catalog/default/dwbb259ca6/productimages/singlepackshot/",LEFT(A321,FIND("-",A321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21" s="5" t="str">
        <f ca="1">IFERROR(ROWSDUMMYFUNCTION(IF(A321="","",CONCATENATE("https://us.pandora.net/on/demandware.static/-/Sites-pandora-master-catalog/default/dwbb259ca6/productimages/singlepackshot/",LEFT(A321,FIND("-",A321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22" spans="1:4" x14ac:dyDescent="0.25">
      <c r="A322" s="3" t="s">
        <v>324</v>
      </c>
      <c r="B322" s="4">
        <v>89</v>
      </c>
      <c r="C322" s="3" t="str">
        <f ca="1">IFERROR(ROWSDUMMYFUNCTION(IF(A322="","",IFERROR(IMAGE(CONCATENATE("https://us.pandora.net/on/demandware.static/-/Sites-pandora-master-catalog/default/dwbb259ca6/productimages/singlepackshot/",LEFT(A322,FIND("-",A322&amp;"-")-1),"_RGB.png")),""))),"{""url"":""https://us.pandora.net/on/demandware.static/-/Sites-pandora-master-catalog/default/dwbb259ca6/productimages/singlepackshot/163651C01_RGB.png"",""mode"":1}")</f>
        <v>{"url":"https://us.pandora.net/on/demandware.static/-/Sites-pandora-master-catalog/default/dwbb259ca6/productimages/singlepackshot/163651C01_RGB.png","mode":1}</v>
      </c>
      <c r="D322" s="5" t="str">
        <f ca="1">IFERROR(ROWSDUMMYFUNCTION(IF(A322="","",CONCATENATE("https://us.pandora.net/on/demandware.static/-/Sites-pandora-master-catalog/default/dwbb259ca6/productimages/singlepackshot/",LEFT(A322,FIND("-",A322&amp;"-")-1),"_RGB.png"))),"https://us.pandora.net/on/demandware.static/-/Sites-pandora-master-catalog/default/dwbb259ca6/productimages/singlepackshot/163651C01_RGB.png")</f>
        <v>https://us.pandora.net/on/demandware.static/-/Sites-pandora-master-catalog/default/dwbb259ca6/productimages/singlepackshot/163651C01_RGB.png</v>
      </c>
    </row>
    <row r="323" spans="1:4" x14ac:dyDescent="0.25">
      <c r="A323" s="3" t="s">
        <v>325</v>
      </c>
      <c r="B323" s="4">
        <v>89</v>
      </c>
      <c r="C323" s="3" t="str">
        <f ca="1">IFERROR(ROWSDUMMYFUNCTION(IF(A323="","",IFERROR(IMAGE(CONCATENATE("https://us.pandora.net/on/demandware.static/-/Sites-pandora-master-catalog/default/dwbb259ca6/productimages/singlepackshot/",LEFT(A323,FIND("-",A323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3" s="5" t="str">
        <f ca="1">IFERROR(ROWSDUMMYFUNCTION(IF(A323="","",CONCATENATE("https://us.pandora.net/on/demandware.static/-/Sites-pandora-master-catalog/default/dwbb259ca6/productimages/singlepackshot/",LEFT(A323,FIND("-",A323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24" spans="1:4" x14ac:dyDescent="0.25">
      <c r="A324" s="3" t="s">
        <v>326</v>
      </c>
      <c r="B324" s="4">
        <v>89</v>
      </c>
      <c r="C324" s="3" t="str">
        <f ca="1">IFERROR(ROWSDUMMYFUNCTION(IF(A324="","",IFERROR(IMAGE(CONCATENATE("https://us.pandora.net/on/demandware.static/-/Sites-pandora-master-catalog/default/dwbb259ca6/productimages/singlepackshot/",LEFT(A324,FIND("-",A324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4" s="5" t="str">
        <f ca="1">IFERROR(ROWSDUMMYFUNCTION(IF(A324="","",CONCATENATE("https://us.pandora.net/on/demandware.static/-/Sites-pandora-master-catalog/default/dwbb259ca6/productimages/singlepackshot/",LEFT(A324,FIND("-",A324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25" spans="1:4" x14ac:dyDescent="0.25">
      <c r="A325" s="3" t="s">
        <v>327</v>
      </c>
      <c r="B325" s="4">
        <v>89</v>
      </c>
      <c r="C325" s="3" t="str">
        <f ca="1">IFERROR(ROWSDUMMYFUNCTION(IF(A325="","",IFERROR(IMAGE(CONCATENATE("https://us.pandora.net/on/demandware.static/-/Sites-pandora-master-catalog/default/dwbb259ca6/productimages/singlepackshot/",LEFT(A325,FIND("-",A325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5" s="5" t="str">
        <f ca="1">IFERROR(ROWSDUMMYFUNCTION(IF(A325="","",CONCATENATE("https://us.pandora.net/on/demandware.static/-/Sites-pandora-master-catalog/default/dwbb259ca6/productimages/singlepackshot/",LEFT(A325,FIND("-",A325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26" spans="1:4" x14ac:dyDescent="0.25">
      <c r="A326" s="3" t="s">
        <v>328</v>
      </c>
      <c r="B326" s="4">
        <v>89</v>
      </c>
      <c r="C326" s="3" t="str">
        <f ca="1">IFERROR(ROWSDUMMYFUNCTION(IF(A326="","",IFERROR(IMAGE(CONCATENATE("https://us.pandora.net/on/demandware.static/-/Sites-pandora-master-catalog/default/dwbb259ca6/productimages/singlepackshot/",LEFT(A326,FIND("-",A326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6" s="5" t="str">
        <f ca="1">IFERROR(ROWSDUMMYFUNCTION(IF(A326="","",CONCATENATE("https://us.pandora.net/on/demandware.static/-/Sites-pandora-master-catalog/default/dwbb259ca6/productimages/singlepackshot/",LEFT(A326,FIND("-",A326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27" spans="1:4" x14ac:dyDescent="0.25">
      <c r="A327" s="3" t="s">
        <v>329</v>
      </c>
      <c r="B327" s="4">
        <v>89</v>
      </c>
      <c r="C327" s="3" t="str">
        <f ca="1">IFERROR(ROWSDUMMYFUNCTION(IF(A327="","",IFERROR(IMAGE(CONCATENATE("https://us.pandora.net/on/demandware.static/-/Sites-pandora-master-catalog/default/dwbb259ca6/productimages/singlepackshot/",LEFT(A327,FIND("-",A327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7" s="5" t="str">
        <f ca="1">IFERROR(ROWSDUMMYFUNCTION(IF(A327="","",CONCATENATE("https://us.pandora.net/on/demandware.static/-/Sites-pandora-master-catalog/default/dwbb259ca6/productimages/singlepackshot/",LEFT(A327,FIND("-",A327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28" spans="1:4" x14ac:dyDescent="0.25">
      <c r="A328" s="3" t="s">
        <v>330</v>
      </c>
      <c r="B328" s="4">
        <v>89</v>
      </c>
      <c r="C328" s="3" t="str">
        <f ca="1">IFERROR(ROWSDUMMYFUNCTION(IF(A328="","",IFERROR(IMAGE(CONCATENATE("https://us.pandora.net/on/demandware.static/-/Sites-pandora-master-catalog/default/dwbb259ca6/productimages/singlepackshot/",LEFT(A328,FIND("-",A328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8" s="5" t="str">
        <f ca="1">IFERROR(ROWSDUMMYFUNCTION(IF(A328="","",CONCATENATE("https://us.pandora.net/on/demandware.static/-/Sites-pandora-master-catalog/default/dwbb259ca6/productimages/singlepackshot/",LEFT(A328,FIND("-",A328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29" spans="1:4" x14ac:dyDescent="0.25">
      <c r="A329" s="3" t="s">
        <v>331</v>
      </c>
      <c r="B329" s="4">
        <v>89</v>
      </c>
      <c r="C329" s="3" t="str">
        <f ca="1">IFERROR(ROWSDUMMYFUNCTION(IF(A329="","",IFERROR(IMAGE(CONCATENATE("https://us.pandora.net/on/demandware.static/-/Sites-pandora-master-catalog/default/dwbb259ca6/productimages/singlepackshot/",LEFT(A329,FIND("-",A329&amp;"-")-1),"_RGB.png")),""))),"{""url"":""https://us.pandora.net/on/demandware.static/-/Sites-pandora-master-catalog/default/dwbb259ca6/productimages/singlepackshot/163653C01_RGB.png"",""mode"":1}")</f>
        <v>{"url":"https://us.pandora.net/on/demandware.static/-/Sites-pandora-master-catalog/default/dwbb259ca6/productimages/singlepackshot/163653C01_RGB.png","mode":1}</v>
      </c>
      <c r="D329" s="5" t="str">
        <f ca="1">IFERROR(ROWSDUMMYFUNCTION(IF(A329="","",CONCATENATE("https://us.pandora.net/on/demandware.static/-/Sites-pandora-master-catalog/default/dwbb259ca6/productimages/singlepackshot/",LEFT(A329,FIND("-",A329&amp;"-")-1),"_RGB.png"))),"https://us.pandora.net/on/demandware.static/-/Sites-pandora-master-catalog/default/dwbb259ca6/productimages/singlepackshot/163653C01_RGB.png")</f>
        <v>https://us.pandora.net/on/demandware.static/-/Sites-pandora-master-catalog/default/dwbb259ca6/productimages/singlepackshot/163653C01_RGB.png</v>
      </c>
    </row>
    <row r="330" spans="1:4" x14ac:dyDescent="0.25">
      <c r="A330" s="3" t="s">
        <v>332</v>
      </c>
      <c r="B330" s="4">
        <v>89</v>
      </c>
      <c r="C330" s="3" t="str">
        <f ca="1">IFERROR(ROWSDUMMYFUNCTION(IF(A330="","",IFERROR(IMAGE(CONCATENATE("https://us.pandora.net/on/demandware.static/-/Sites-pandora-master-catalog/default/dwbb259ca6/productimages/singlepackshot/",LEFT(A330,FIND("-",A330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0" s="5" t="str">
        <f ca="1">IFERROR(ROWSDUMMYFUNCTION(IF(A330="","",CONCATENATE("https://us.pandora.net/on/demandware.static/-/Sites-pandora-master-catalog/default/dwbb259ca6/productimages/singlepackshot/",LEFT(A330,FIND("-",A330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1" spans="1:4" x14ac:dyDescent="0.25">
      <c r="A331" s="3" t="s">
        <v>333</v>
      </c>
      <c r="B331" s="4">
        <v>89</v>
      </c>
      <c r="C331" s="3" t="str">
        <f ca="1">IFERROR(ROWSDUMMYFUNCTION(IF(A331="","",IFERROR(IMAGE(CONCATENATE("https://us.pandora.net/on/demandware.static/-/Sites-pandora-master-catalog/default/dwbb259ca6/productimages/singlepackshot/",LEFT(A331,FIND("-",A331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1" s="5" t="str">
        <f ca="1">IFERROR(ROWSDUMMYFUNCTION(IF(A331="","",CONCATENATE("https://us.pandora.net/on/demandware.static/-/Sites-pandora-master-catalog/default/dwbb259ca6/productimages/singlepackshot/",LEFT(A331,FIND("-",A331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2" spans="1:4" x14ac:dyDescent="0.25">
      <c r="A332" s="3" t="s">
        <v>334</v>
      </c>
      <c r="B332" s="4">
        <v>89</v>
      </c>
      <c r="C332" s="3" t="str">
        <f ca="1">IFERROR(ROWSDUMMYFUNCTION(IF(A332="","",IFERROR(IMAGE(CONCATENATE("https://us.pandora.net/on/demandware.static/-/Sites-pandora-master-catalog/default/dwbb259ca6/productimages/singlepackshot/",LEFT(A332,FIND("-",A332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2" s="5" t="str">
        <f ca="1">IFERROR(ROWSDUMMYFUNCTION(IF(A332="","",CONCATENATE("https://us.pandora.net/on/demandware.static/-/Sites-pandora-master-catalog/default/dwbb259ca6/productimages/singlepackshot/",LEFT(A332,FIND("-",A332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3" spans="1:4" x14ac:dyDescent="0.25">
      <c r="A333" s="3" t="s">
        <v>335</v>
      </c>
      <c r="B333" s="4">
        <v>89</v>
      </c>
      <c r="C333" s="3" t="str">
        <f ca="1">IFERROR(ROWSDUMMYFUNCTION(IF(A333="","",IFERROR(IMAGE(CONCATENATE("https://us.pandora.net/on/demandware.static/-/Sites-pandora-master-catalog/default/dwbb259ca6/productimages/singlepackshot/",LEFT(A333,FIND("-",A333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3" s="5" t="str">
        <f ca="1">IFERROR(ROWSDUMMYFUNCTION(IF(A333="","",CONCATENATE("https://us.pandora.net/on/demandware.static/-/Sites-pandora-master-catalog/default/dwbb259ca6/productimages/singlepackshot/",LEFT(A333,FIND("-",A333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4" spans="1:4" x14ac:dyDescent="0.25">
      <c r="A334" s="3" t="s">
        <v>336</v>
      </c>
      <c r="B334" s="4">
        <v>89</v>
      </c>
      <c r="C334" s="3" t="str">
        <f ca="1">IFERROR(ROWSDUMMYFUNCTION(IF(A334="","",IFERROR(IMAGE(CONCATENATE("https://us.pandora.net/on/demandware.static/-/Sites-pandora-master-catalog/default/dwbb259ca6/productimages/singlepackshot/",LEFT(A334,FIND("-",A334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4" s="5" t="str">
        <f ca="1">IFERROR(ROWSDUMMYFUNCTION(IF(A334="","",CONCATENATE("https://us.pandora.net/on/demandware.static/-/Sites-pandora-master-catalog/default/dwbb259ca6/productimages/singlepackshot/",LEFT(A334,FIND("-",A334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5" spans="1:4" x14ac:dyDescent="0.25">
      <c r="A335" s="3" t="s">
        <v>337</v>
      </c>
      <c r="B335" s="4">
        <v>89</v>
      </c>
      <c r="C335" s="3" t="str">
        <f ca="1">IFERROR(ROWSDUMMYFUNCTION(IF(A335="","",IFERROR(IMAGE(CONCATENATE("https://us.pandora.net/on/demandware.static/-/Sites-pandora-master-catalog/default/dwbb259ca6/productimages/singlepackshot/",LEFT(A335,FIND("-",A335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5" s="5" t="str">
        <f ca="1">IFERROR(ROWSDUMMYFUNCTION(IF(A335="","",CONCATENATE("https://us.pandora.net/on/demandware.static/-/Sites-pandora-master-catalog/default/dwbb259ca6/productimages/singlepackshot/",LEFT(A335,FIND("-",A335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6" spans="1:4" x14ac:dyDescent="0.25">
      <c r="A336" s="3" t="s">
        <v>338</v>
      </c>
      <c r="B336" s="4">
        <v>89</v>
      </c>
      <c r="C336" s="3" t="str">
        <f ca="1">IFERROR(ROWSDUMMYFUNCTION(IF(A336="","",IFERROR(IMAGE(CONCATENATE("https://us.pandora.net/on/demandware.static/-/Sites-pandora-master-catalog/default/dwbb259ca6/productimages/singlepackshot/",LEFT(A336,FIND("-",A336&amp;"-")-1),"_RGB.png")),""))),"{""url"":""https://us.pandora.net/on/demandware.static/-/Sites-pandora-master-catalog/default/dwbb259ca6/productimages/singlepackshot/163654C01_RGB.png"",""mode"":1}")</f>
        <v>{"url":"https://us.pandora.net/on/demandware.static/-/Sites-pandora-master-catalog/default/dwbb259ca6/productimages/singlepackshot/163654C01_RGB.png","mode":1}</v>
      </c>
      <c r="D336" s="5" t="str">
        <f ca="1">IFERROR(ROWSDUMMYFUNCTION(IF(A336="","",CONCATENATE("https://us.pandora.net/on/demandware.static/-/Sites-pandora-master-catalog/default/dwbb259ca6/productimages/singlepackshot/",LEFT(A336,FIND("-",A336&amp;"-")-1),"_RGB.png"))),"https://us.pandora.net/on/demandware.static/-/Sites-pandora-master-catalog/default/dwbb259ca6/productimages/singlepackshot/163654C01_RGB.png")</f>
        <v>https://us.pandora.net/on/demandware.static/-/Sites-pandora-master-catalog/default/dwbb259ca6/productimages/singlepackshot/163654C01_RGB.png</v>
      </c>
    </row>
    <row r="337" spans="1:4" x14ac:dyDescent="0.25">
      <c r="A337" s="3" t="s">
        <v>339</v>
      </c>
      <c r="B337" s="4">
        <v>89</v>
      </c>
      <c r="C337" s="3" t="str">
        <f ca="1">IFERROR(ROWSDUMMYFUNCTION(IF(A337="","",IFERROR(IMAGE(CONCATENATE("https://us.pandora.net/on/demandware.static/-/Sites-pandora-master-catalog/default/dwbb259ca6/productimages/singlepackshot/",LEFT(A337,FIND("-",A337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37" s="5" t="str">
        <f ca="1">IFERROR(ROWSDUMMYFUNCTION(IF(A337="","",CONCATENATE("https://us.pandora.net/on/demandware.static/-/Sites-pandora-master-catalog/default/dwbb259ca6/productimages/singlepackshot/",LEFT(A337,FIND("-",A337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38" spans="1:4" x14ac:dyDescent="0.25">
      <c r="A338" s="3" t="s">
        <v>340</v>
      </c>
      <c r="B338" s="4">
        <v>89</v>
      </c>
      <c r="C338" s="3" t="str">
        <f ca="1">IFERROR(ROWSDUMMYFUNCTION(IF(A338="","",IFERROR(IMAGE(CONCATENATE("https://us.pandora.net/on/demandware.static/-/Sites-pandora-master-catalog/default/dwbb259ca6/productimages/singlepackshot/",LEFT(A338,FIND("-",A338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38" s="5" t="str">
        <f ca="1">IFERROR(ROWSDUMMYFUNCTION(IF(A338="","",CONCATENATE("https://us.pandora.net/on/demandware.static/-/Sites-pandora-master-catalog/default/dwbb259ca6/productimages/singlepackshot/",LEFT(A338,FIND("-",A338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39" spans="1:4" x14ac:dyDescent="0.25">
      <c r="A339" s="3" t="s">
        <v>341</v>
      </c>
      <c r="B339" s="4">
        <v>89</v>
      </c>
      <c r="C339" s="3" t="str">
        <f ca="1">IFERROR(ROWSDUMMYFUNCTION(IF(A339="","",IFERROR(IMAGE(CONCATENATE("https://us.pandora.net/on/demandware.static/-/Sites-pandora-master-catalog/default/dwbb259ca6/productimages/singlepackshot/",LEFT(A339,FIND("-",A339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39" s="5" t="str">
        <f ca="1">IFERROR(ROWSDUMMYFUNCTION(IF(A339="","",CONCATENATE("https://us.pandora.net/on/demandware.static/-/Sites-pandora-master-catalog/default/dwbb259ca6/productimages/singlepackshot/",LEFT(A339,FIND("-",A339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40" spans="1:4" x14ac:dyDescent="0.25">
      <c r="A340" s="3" t="s">
        <v>342</v>
      </c>
      <c r="B340" s="4">
        <v>89</v>
      </c>
      <c r="C340" s="3" t="str">
        <f ca="1">IFERROR(ROWSDUMMYFUNCTION(IF(A340="","",IFERROR(IMAGE(CONCATENATE("https://us.pandora.net/on/demandware.static/-/Sites-pandora-master-catalog/default/dwbb259ca6/productimages/singlepackshot/",LEFT(A340,FIND("-",A340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40" s="5" t="str">
        <f ca="1">IFERROR(ROWSDUMMYFUNCTION(IF(A340="","",CONCATENATE("https://us.pandora.net/on/demandware.static/-/Sites-pandora-master-catalog/default/dwbb259ca6/productimages/singlepackshot/",LEFT(A340,FIND("-",A340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41" spans="1:4" x14ac:dyDescent="0.25">
      <c r="A341" s="3" t="s">
        <v>343</v>
      </c>
      <c r="B341" s="4">
        <v>89</v>
      </c>
      <c r="C341" s="3" t="str">
        <f ca="1">IFERROR(ROWSDUMMYFUNCTION(IF(A341="","",IFERROR(IMAGE(CONCATENATE("https://us.pandora.net/on/demandware.static/-/Sites-pandora-master-catalog/default/dwbb259ca6/productimages/singlepackshot/",LEFT(A341,FIND("-",A341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41" s="5" t="str">
        <f ca="1">IFERROR(ROWSDUMMYFUNCTION(IF(A341="","",CONCATENATE("https://us.pandora.net/on/demandware.static/-/Sites-pandora-master-catalog/default/dwbb259ca6/productimages/singlepackshot/",LEFT(A341,FIND("-",A341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42" spans="1:4" x14ac:dyDescent="0.25">
      <c r="A342" s="3" t="s">
        <v>344</v>
      </c>
      <c r="B342" s="4">
        <v>89</v>
      </c>
      <c r="C342" s="3" t="str">
        <f ca="1">IFERROR(ROWSDUMMYFUNCTION(IF(A342="","",IFERROR(IMAGE(CONCATENATE("https://us.pandora.net/on/demandware.static/-/Sites-pandora-master-catalog/default/dwbb259ca6/productimages/singlepackshot/",LEFT(A342,FIND("-",A342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42" s="5" t="str">
        <f ca="1">IFERROR(ROWSDUMMYFUNCTION(IF(A342="","",CONCATENATE("https://us.pandora.net/on/demandware.static/-/Sites-pandora-master-catalog/default/dwbb259ca6/productimages/singlepackshot/",LEFT(A342,FIND("-",A342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43" spans="1:4" x14ac:dyDescent="0.25">
      <c r="A343" s="3" t="s">
        <v>345</v>
      </c>
      <c r="B343" s="4">
        <v>89</v>
      </c>
      <c r="C343" s="3" t="str">
        <f ca="1">IFERROR(ROWSDUMMYFUNCTION(IF(A343="","",IFERROR(IMAGE(CONCATENATE("https://us.pandora.net/on/demandware.static/-/Sites-pandora-master-catalog/default/dwbb259ca6/productimages/singlepackshot/",LEFT(A343,FIND("-",A343&amp;"-")-1),"_RGB.png")),""))),"{""url"":""https://us.pandora.net/on/demandware.static/-/Sites-pandora-master-catalog/default/dwbb259ca6/productimages/singlepackshot/163660C01_RGB.png"",""mode"":1}")</f>
        <v>{"url":"https://us.pandora.net/on/demandware.static/-/Sites-pandora-master-catalog/default/dwbb259ca6/productimages/singlepackshot/163660C01_RGB.png","mode":1}</v>
      </c>
      <c r="D343" s="5" t="str">
        <f ca="1">IFERROR(ROWSDUMMYFUNCTION(IF(A343="","",CONCATENATE("https://us.pandora.net/on/demandware.static/-/Sites-pandora-master-catalog/default/dwbb259ca6/productimages/singlepackshot/",LEFT(A343,FIND("-",A343&amp;"-")-1),"_RGB.png"))),"https://us.pandora.net/on/demandware.static/-/Sites-pandora-master-catalog/default/dwbb259ca6/productimages/singlepackshot/163660C01_RGB.png")</f>
        <v>https://us.pandora.net/on/demandware.static/-/Sites-pandora-master-catalog/default/dwbb259ca6/productimages/singlepackshot/163660C01_RGB.png</v>
      </c>
    </row>
    <row r="344" spans="1:4" x14ac:dyDescent="0.25">
      <c r="A344" s="3" t="s">
        <v>346</v>
      </c>
      <c r="B344" s="4">
        <v>59</v>
      </c>
      <c r="C344" s="3" t="str">
        <f ca="1">IFERROR(ROWSDUMMYFUNCTION(IF(A344="","",IFERROR(IMAGE(CONCATENATE("https://us.pandora.net/on/demandware.static/-/Sites-pandora-master-catalog/default/dwbb259ca6/productimages/singlepackshot/",LEFT(A344,FIND("-",A344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44" s="5" t="str">
        <f ca="1">IFERROR(ROWSDUMMYFUNCTION(IF(A344="","",CONCATENATE("https://us.pandora.net/on/demandware.static/-/Sites-pandora-master-catalog/default/dwbb259ca6/productimages/singlepackshot/",LEFT(A344,FIND("-",A344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45" spans="1:4" x14ac:dyDescent="0.25">
      <c r="A345" s="3" t="s">
        <v>347</v>
      </c>
      <c r="B345" s="4">
        <v>59</v>
      </c>
      <c r="C345" s="3" t="str">
        <f ca="1">IFERROR(ROWSDUMMYFUNCTION(IF(A345="","",IFERROR(IMAGE(CONCATENATE("https://us.pandora.net/on/demandware.static/-/Sites-pandora-master-catalog/default/dwbb259ca6/productimages/singlepackshot/",LEFT(A345,FIND("-",A345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45" s="5" t="str">
        <f ca="1">IFERROR(ROWSDUMMYFUNCTION(IF(A345="","",CONCATENATE("https://us.pandora.net/on/demandware.static/-/Sites-pandora-master-catalog/default/dwbb259ca6/productimages/singlepackshot/",LEFT(A345,FIND("-",A345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46" spans="1:4" x14ac:dyDescent="0.25">
      <c r="A346" s="3" t="s">
        <v>348</v>
      </c>
      <c r="B346" s="4">
        <v>59</v>
      </c>
      <c r="C346" s="3" t="str">
        <f ca="1">IFERROR(ROWSDUMMYFUNCTION(IF(A346="","",IFERROR(IMAGE(CONCATENATE("https://us.pandora.net/on/demandware.static/-/Sites-pandora-master-catalog/default/dwbb259ca6/productimages/singlepackshot/",LEFT(A346,FIND("-",A346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46" s="5" t="str">
        <f ca="1">IFERROR(ROWSDUMMYFUNCTION(IF(A346="","",CONCATENATE("https://us.pandora.net/on/demandware.static/-/Sites-pandora-master-catalog/default/dwbb259ca6/productimages/singlepackshot/",LEFT(A346,FIND("-",A346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47" spans="1:4" x14ac:dyDescent="0.25">
      <c r="A347" s="3" t="s">
        <v>349</v>
      </c>
      <c r="B347" s="4">
        <v>59</v>
      </c>
      <c r="C347" s="3" t="str">
        <f ca="1">IFERROR(ROWSDUMMYFUNCTION(IF(A347="","",IFERROR(IMAGE(CONCATENATE("https://us.pandora.net/on/demandware.static/-/Sites-pandora-master-catalog/default/dwbb259ca6/productimages/singlepackshot/",LEFT(A347,FIND("-",A347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47" s="5" t="str">
        <f ca="1">IFERROR(ROWSDUMMYFUNCTION(IF(A347="","",CONCATENATE("https://us.pandora.net/on/demandware.static/-/Sites-pandora-master-catalog/default/dwbb259ca6/productimages/singlepackshot/",LEFT(A347,FIND("-",A347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48" spans="1:4" x14ac:dyDescent="0.25">
      <c r="A348" s="3" t="s">
        <v>350</v>
      </c>
      <c r="B348" s="4">
        <v>59</v>
      </c>
      <c r="C348" s="3" t="str">
        <f ca="1">IFERROR(ROWSDUMMYFUNCTION(IF(A348="","",IFERROR(IMAGE(CONCATENATE("https://us.pandora.net/on/demandware.static/-/Sites-pandora-master-catalog/default/dwbb259ca6/productimages/singlepackshot/",LEFT(A348,FIND("-",A348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48" s="5" t="str">
        <f ca="1">IFERROR(ROWSDUMMYFUNCTION(IF(A348="","",CONCATENATE("https://us.pandora.net/on/demandware.static/-/Sites-pandora-master-catalog/default/dwbb259ca6/productimages/singlepackshot/",LEFT(A348,FIND("-",A348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49" spans="1:4" x14ac:dyDescent="0.25">
      <c r="A349" s="3" t="s">
        <v>351</v>
      </c>
      <c r="B349" s="4">
        <v>59</v>
      </c>
      <c r="C349" s="3" t="str">
        <f ca="1">IFERROR(ROWSDUMMYFUNCTION(IF(A349="","",IFERROR(IMAGE(CONCATENATE("https://us.pandora.net/on/demandware.static/-/Sites-pandora-master-catalog/default/dwbb259ca6/productimages/singlepackshot/",LEFT(A349,FIND("-",A349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49" s="5" t="str">
        <f ca="1">IFERROR(ROWSDUMMYFUNCTION(IF(A349="","",CONCATENATE("https://us.pandora.net/on/demandware.static/-/Sites-pandora-master-catalog/default/dwbb259ca6/productimages/singlepackshot/",LEFT(A349,FIND("-",A349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50" spans="1:4" x14ac:dyDescent="0.25">
      <c r="A350" s="3" t="s">
        <v>352</v>
      </c>
      <c r="B350" s="4">
        <v>59</v>
      </c>
      <c r="C350" s="3" t="str">
        <f ca="1">IFERROR(ROWSDUMMYFUNCTION(IF(A350="","",IFERROR(IMAGE(CONCATENATE("https://us.pandora.net/on/demandware.static/-/Sites-pandora-master-catalog/default/dwbb259ca6/productimages/singlepackshot/",LEFT(A350,FIND("-",A350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50" s="5" t="str">
        <f ca="1">IFERROR(ROWSDUMMYFUNCTION(IF(A350="","",CONCATENATE("https://us.pandora.net/on/demandware.static/-/Sites-pandora-master-catalog/default/dwbb259ca6/productimages/singlepackshot/",LEFT(A350,FIND("-",A350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51" spans="1:4" x14ac:dyDescent="0.25">
      <c r="A351" s="3" t="s">
        <v>353</v>
      </c>
      <c r="B351" s="4">
        <v>59</v>
      </c>
      <c r="C351" s="3" t="str">
        <f ca="1">IFERROR(ROWSDUMMYFUNCTION(IF(A351="","",IFERROR(IMAGE(CONCATENATE("https://us.pandora.net/on/demandware.static/-/Sites-pandora-master-catalog/default/dwbb259ca6/productimages/singlepackshot/",LEFT(A351,FIND("-",A351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51" s="5" t="str">
        <f ca="1">IFERROR(ROWSDUMMYFUNCTION(IF(A351="","",CONCATENATE("https://us.pandora.net/on/demandware.static/-/Sites-pandora-master-catalog/default/dwbb259ca6/productimages/singlepackshot/",LEFT(A351,FIND("-",A351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52" spans="1:4" x14ac:dyDescent="0.25">
      <c r="A352" s="3" t="s">
        <v>354</v>
      </c>
      <c r="B352" s="4">
        <v>59</v>
      </c>
      <c r="C352" s="3" t="str">
        <f ca="1">IFERROR(ROWSDUMMYFUNCTION(IF(A352="","",IFERROR(IMAGE(CONCATENATE("https://us.pandora.net/on/demandware.static/-/Sites-pandora-master-catalog/default/dwbb259ca6/productimages/singlepackshot/",LEFT(A352,FIND("-",A352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52" s="5" t="str">
        <f ca="1">IFERROR(ROWSDUMMYFUNCTION(IF(A352="","",CONCATENATE("https://us.pandora.net/on/demandware.static/-/Sites-pandora-master-catalog/default/dwbb259ca6/productimages/singlepackshot/",LEFT(A352,FIND("-",A352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53" spans="1:4" x14ac:dyDescent="0.25">
      <c r="A353" s="3" t="s">
        <v>355</v>
      </c>
      <c r="B353" s="4">
        <v>59</v>
      </c>
      <c r="C353" s="3" t="str">
        <f ca="1">IFERROR(ROWSDUMMYFUNCTION(IF(A353="","",IFERROR(IMAGE(CONCATENATE("https://us.pandora.net/on/demandware.static/-/Sites-pandora-master-catalog/default/dwbb259ca6/productimages/singlepackshot/",LEFT(A353,FIND("-",A353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53" s="5" t="str">
        <f ca="1">IFERROR(ROWSDUMMYFUNCTION(IF(A353="","",CONCATENATE("https://us.pandora.net/on/demandware.static/-/Sites-pandora-master-catalog/default/dwbb259ca6/productimages/singlepackshot/",LEFT(A353,FIND("-",A353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54" spans="1:4" x14ac:dyDescent="0.25">
      <c r="A354" s="3" t="s">
        <v>356</v>
      </c>
      <c r="B354" s="4">
        <v>59</v>
      </c>
      <c r="C354" s="3" t="str">
        <f ca="1">IFERROR(ROWSDUMMYFUNCTION(IF(A354="","",IFERROR(IMAGE(CONCATENATE("https://us.pandora.net/on/demandware.static/-/Sites-pandora-master-catalog/default/dwbb259ca6/productimages/singlepackshot/",LEFT(A354,FIND("-",A354&amp;"-")-1),"_RGB.png")),""))),"{""url"":""https://us.pandora.net/on/demandware.static/-/Sites-pandora-master-catalog/default/dwbb259ca6/productimages/singlepackshot/163686C01_RGB.png"",""mode"":1}")</f>
        <v>{"url":"https://us.pandora.net/on/demandware.static/-/Sites-pandora-master-catalog/default/dwbb259ca6/productimages/singlepackshot/163686C01_RGB.png","mode":1}</v>
      </c>
      <c r="D354" s="5" t="str">
        <f ca="1">IFERROR(ROWSDUMMYFUNCTION(IF(A354="","",CONCATENATE("https://us.pandora.net/on/demandware.static/-/Sites-pandora-master-catalog/default/dwbb259ca6/productimages/singlepackshot/",LEFT(A354,FIND("-",A354&amp;"-")-1),"_RGB.png"))),"https://us.pandora.net/on/demandware.static/-/Sites-pandora-master-catalog/default/dwbb259ca6/productimages/singlepackshot/163686C01_RGB.png")</f>
        <v>https://us.pandora.net/on/demandware.static/-/Sites-pandora-master-catalog/default/dwbb259ca6/productimages/singlepackshot/163686C01_RGB.png</v>
      </c>
    </row>
    <row r="355" spans="1:4" x14ac:dyDescent="0.25">
      <c r="A355" s="3" t="s">
        <v>357</v>
      </c>
      <c r="B355" s="4">
        <v>59</v>
      </c>
      <c r="C355" s="3" t="str">
        <f ca="1">IFERROR(ROWSDUMMYFUNCTION(IF(A355="","",IFERROR(IMAGE(CONCATENATE("https://us.pandora.net/on/demandware.static/-/Sites-pandora-master-catalog/default/dwbb259ca6/productimages/singlepackshot/",LEFT(A355,FIND("-",A355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55" s="5" t="str">
        <f ca="1">IFERROR(ROWSDUMMYFUNCTION(IF(A355="","",CONCATENATE("https://us.pandora.net/on/demandware.static/-/Sites-pandora-master-catalog/default/dwbb259ca6/productimages/singlepackshot/",LEFT(A355,FIND("-",A355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56" spans="1:4" x14ac:dyDescent="0.25">
      <c r="A356" s="3" t="s">
        <v>358</v>
      </c>
      <c r="B356" s="4">
        <v>59</v>
      </c>
      <c r="C356" s="3" t="str">
        <f ca="1">IFERROR(ROWSDUMMYFUNCTION(IF(A356="","",IFERROR(IMAGE(CONCATENATE("https://us.pandora.net/on/demandware.static/-/Sites-pandora-master-catalog/default/dwbb259ca6/productimages/singlepackshot/",LEFT(A356,FIND("-",A356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56" s="5" t="str">
        <f ca="1">IFERROR(ROWSDUMMYFUNCTION(IF(A356="","",CONCATENATE("https://us.pandora.net/on/demandware.static/-/Sites-pandora-master-catalog/default/dwbb259ca6/productimages/singlepackshot/",LEFT(A356,FIND("-",A356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57" spans="1:4" x14ac:dyDescent="0.25">
      <c r="A357" s="3" t="s">
        <v>359</v>
      </c>
      <c r="B357" s="4">
        <v>59</v>
      </c>
      <c r="C357" s="3" t="str">
        <f ca="1">IFERROR(ROWSDUMMYFUNCTION(IF(A357="","",IFERROR(IMAGE(CONCATENATE("https://us.pandora.net/on/demandware.static/-/Sites-pandora-master-catalog/default/dwbb259ca6/productimages/singlepackshot/",LEFT(A357,FIND("-",A357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57" s="5" t="str">
        <f ca="1">IFERROR(ROWSDUMMYFUNCTION(IF(A357="","",CONCATENATE("https://us.pandora.net/on/demandware.static/-/Sites-pandora-master-catalog/default/dwbb259ca6/productimages/singlepackshot/",LEFT(A357,FIND("-",A357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58" spans="1:4" x14ac:dyDescent="0.25">
      <c r="A358" s="3" t="s">
        <v>360</v>
      </c>
      <c r="B358" s="4">
        <v>59</v>
      </c>
      <c r="C358" s="3" t="str">
        <f ca="1">IFERROR(ROWSDUMMYFUNCTION(IF(A358="","",IFERROR(IMAGE(CONCATENATE("https://us.pandora.net/on/demandware.static/-/Sites-pandora-master-catalog/default/dwbb259ca6/productimages/singlepackshot/",LEFT(A358,FIND("-",A358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58" s="5" t="str">
        <f ca="1">IFERROR(ROWSDUMMYFUNCTION(IF(A358="","",CONCATENATE("https://us.pandora.net/on/demandware.static/-/Sites-pandora-master-catalog/default/dwbb259ca6/productimages/singlepackshot/",LEFT(A358,FIND("-",A358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59" spans="1:4" x14ac:dyDescent="0.25">
      <c r="A359" s="3" t="s">
        <v>361</v>
      </c>
      <c r="B359" s="4">
        <v>59</v>
      </c>
      <c r="C359" s="3" t="str">
        <f ca="1">IFERROR(ROWSDUMMYFUNCTION(IF(A359="","",IFERROR(IMAGE(CONCATENATE("https://us.pandora.net/on/demandware.static/-/Sites-pandora-master-catalog/default/dwbb259ca6/productimages/singlepackshot/",LEFT(A359,FIND("-",A359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59" s="5" t="str">
        <f ca="1">IFERROR(ROWSDUMMYFUNCTION(IF(A359="","",CONCATENATE("https://us.pandora.net/on/demandware.static/-/Sites-pandora-master-catalog/default/dwbb259ca6/productimages/singlepackshot/",LEFT(A359,FIND("-",A359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60" spans="1:4" x14ac:dyDescent="0.25">
      <c r="A360" s="3" t="s">
        <v>362</v>
      </c>
      <c r="B360" s="4">
        <v>59</v>
      </c>
      <c r="C360" s="3" t="str">
        <f ca="1">IFERROR(ROWSDUMMYFUNCTION(IF(A360="","",IFERROR(IMAGE(CONCATENATE("https://us.pandora.net/on/demandware.static/-/Sites-pandora-master-catalog/default/dwbb259ca6/productimages/singlepackshot/",LEFT(A360,FIND("-",A360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60" s="5" t="str">
        <f ca="1">IFERROR(ROWSDUMMYFUNCTION(IF(A360="","",CONCATENATE("https://us.pandora.net/on/demandware.static/-/Sites-pandora-master-catalog/default/dwbb259ca6/productimages/singlepackshot/",LEFT(A360,FIND("-",A360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61" spans="1:4" x14ac:dyDescent="0.25">
      <c r="A361" s="3" t="s">
        <v>363</v>
      </c>
      <c r="B361" s="4">
        <v>59</v>
      </c>
      <c r="C361" s="3" t="str">
        <f ca="1">IFERROR(ROWSDUMMYFUNCTION(IF(A361="","",IFERROR(IMAGE(CONCATENATE("https://us.pandora.net/on/demandware.static/-/Sites-pandora-master-catalog/default/dwbb259ca6/productimages/singlepackshot/",LEFT(A361,FIND("-",A361&amp;"-")-1),"_RGB.png")),""))),"{""url"":""https://us.pandora.net/on/demandware.static/-/Sites-pandora-master-catalog/default/dwbb259ca6/productimages/singlepackshot/163759C01_RGB.png"",""mode"":1}")</f>
        <v>{"url":"https://us.pandora.net/on/demandware.static/-/Sites-pandora-master-catalog/default/dwbb259ca6/productimages/singlepackshot/163759C01_RGB.png","mode":1}</v>
      </c>
      <c r="D361" s="5" t="str">
        <f ca="1">IFERROR(ROWSDUMMYFUNCTION(IF(A361="","",CONCATENATE("https://us.pandora.net/on/demandware.static/-/Sites-pandora-master-catalog/default/dwbb259ca6/productimages/singlepackshot/",LEFT(A361,FIND("-",A361&amp;"-")-1),"_RGB.png"))),"https://us.pandora.net/on/demandware.static/-/Sites-pandora-master-catalog/default/dwbb259ca6/productimages/singlepackshot/163759C01_RGB.png")</f>
        <v>https://us.pandora.net/on/demandware.static/-/Sites-pandora-master-catalog/default/dwbb259ca6/productimages/singlepackshot/163759C01_RGB.png</v>
      </c>
    </row>
    <row r="362" spans="1:4" x14ac:dyDescent="0.25">
      <c r="A362" s="3" t="s">
        <v>364</v>
      </c>
      <c r="B362" s="4">
        <v>99</v>
      </c>
      <c r="C362" s="3" t="str">
        <f ca="1">IFERROR(ROWSDUMMYFUNCTION(IF(A362="","",IFERROR(IMAGE(CONCATENATE("https://us.pandora.net/on/demandware.static/-/Sites-pandora-master-catalog/default/dwbb259ca6/productimages/singlepackshot/",LEFT(A362,FIND("-",A362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2" s="5" t="str">
        <f ca="1">IFERROR(ROWSDUMMYFUNCTION(IF(A362="","",CONCATENATE("https://us.pandora.net/on/demandware.static/-/Sites-pandora-master-catalog/default/dwbb259ca6/productimages/singlepackshot/",LEFT(A362,FIND("-",A362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3" spans="1:4" x14ac:dyDescent="0.25">
      <c r="A363" s="3" t="s">
        <v>365</v>
      </c>
      <c r="B363" s="4">
        <v>99</v>
      </c>
      <c r="C363" s="3" t="str">
        <f ca="1">IFERROR(ROWSDUMMYFUNCTION(IF(A363="","",IFERROR(IMAGE(CONCATENATE("https://us.pandora.net/on/demandware.static/-/Sites-pandora-master-catalog/default/dwbb259ca6/productimages/singlepackshot/",LEFT(A363,FIND("-",A363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3" s="5" t="str">
        <f ca="1">IFERROR(ROWSDUMMYFUNCTION(IF(A363="","",CONCATENATE("https://us.pandora.net/on/demandware.static/-/Sites-pandora-master-catalog/default/dwbb259ca6/productimages/singlepackshot/",LEFT(A363,FIND("-",A363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4" spans="1:4" x14ac:dyDescent="0.25">
      <c r="A364" s="3" t="s">
        <v>366</v>
      </c>
      <c r="B364" s="4">
        <v>99</v>
      </c>
      <c r="C364" s="3" t="str">
        <f ca="1">IFERROR(ROWSDUMMYFUNCTION(IF(A364="","",IFERROR(IMAGE(CONCATENATE("https://us.pandora.net/on/demandware.static/-/Sites-pandora-master-catalog/default/dwbb259ca6/productimages/singlepackshot/",LEFT(A364,FIND("-",A364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4" s="5" t="str">
        <f ca="1">IFERROR(ROWSDUMMYFUNCTION(IF(A364="","",CONCATENATE("https://us.pandora.net/on/demandware.static/-/Sites-pandora-master-catalog/default/dwbb259ca6/productimages/singlepackshot/",LEFT(A364,FIND("-",A364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5" spans="1:4" x14ac:dyDescent="0.25">
      <c r="A365" s="3" t="s">
        <v>367</v>
      </c>
      <c r="B365" s="4">
        <v>99</v>
      </c>
      <c r="C365" s="3" t="str">
        <f ca="1">IFERROR(ROWSDUMMYFUNCTION(IF(A365="","",IFERROR(IMAGE(CONCATENATE("https://us.pandora.net/on/demandware.static/-/Sites-pandora-master-catalog/default/dwbb259ca6/productimages/singlepackshot/",LEFT(A365,FIND("-",A365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5" s="5" t="str">
        <f ca="1">IFERROR(ROWSDUMMYFUNCTION(IF(A365="","",CONCATENATE("https://us.pandora.net/on/demandware.static/-/Sites-pandora-master-catalog/default/dwbb259ca6/productimages/singlepackshot/",LEFT(A365,FIND("-",A365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6" spans="1:4" x14ac:dyDescent="0.25">
      <c r="A366" s="3" t="s">
        <v>368</v>
      </c>
      <c r="B366" s="4">
        <v>99</v>
      </c>
      <c r="C366" s="3" t="str">
        <f ca="1">IFERROR(ROWSDUMMYFUNCTION(IF(A366="","",IFERROR(IMAGE(CONCATENATE("https://us.pandora.net/on/demandware.static/-/Sites-pandora-master-catalog/default/dwbb259ca6/productimages/singlepackshot/",LEFT(A366,FIND("-",A366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6" s="5" t="str">
        <f ca="1">IFERROR(ROWSDUMMYFUNCTION(IF(A366="","",CONCATENATE("https://us.pandora.net/on/demandware.static/-/Sites-pandora-master-catalog/default/dwbb259ca6/productimages/singlepackshot/",LEFT(A366,FIND("-",A366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7" spans="1:4" x14ac:dyDescent="0.25">
      <c r="A367" s="3" t="s">
        <v>369</v>
      </c>
      <c r="B367" s="4">
        <v>99</v>
      </c>
      <c r="C367" s="3" t="str">
        <f ca="1">IFERROR(ROWSDUMMYFUNCTION(IF(A367="","",IFERROR(IMAGE(CONCATENATE("https://us.pandora.net/on/demandware.static/-/Sites-pandora-master-catalog/default/dwbb259ca6/productimages/singlepackshot/",LEFT(A367,FIND("-",A367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7" s="5" t="str">
        <f ca="1">IFERROR(ROWSDUMMYFUNCTION(IF(A367="","",CONCATENATE("https://us.pandora.net/on/demandware.static/-/Sites-pandora-master-catalog/default/dwbb259ca6/productimages/singlepackshot/",LEFT(A367,FIND("-",A367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8" spans="1:4" x14ac:dyDescent="0.25">
      <c r="A368" s="3" t="s">
        <v>370</v>
      </c>
      <c r="B368" s="4">
        <v>99</v>
      </c>
      <c r="C368" s="3" t="str">
        <f ca="1">IFERROR(ROWSDUMMYFUNCTION(IF(A368="","",IFERROR(IMAGE(CONCATENATE("https://us.pandora.net/on/demandware.static/-/Sites-pandora-master-catalog/default/dwbb259ca6/productimages/singlepackshot/",LEFT(A368,FIND("-",A368&amp;"-")-1),"_RGB.png")),""))),"{""url"":""https://us.pandora.net/on/demandware.static/-/Sites-pandora-master-catalog/default/dwbb259ca6/productimages/singlepackshot/163797C01_RGB.png"",""mode"":1}")</f>
        <v>{"url":"https://us.pandora.net/on/demandware.static/-/Sites-pandora-master-catalog/default/dwbb259ca6/productimages/singlepackshot/163797C01_RGB.png","mode":1}</v>
      </c>
      <c r="D368" s="5" t="str">
        <f ca="1">IFERROR(ROWSDUMMYFUNCTION(IF(A368="","",CONCATENATE("https://us.pandora.net/on/demandware.static/-/Sites-pandora-master-catalog/default/dwbb259ca6/productimages/singlepackshot/",LEFT(A368,FIND("-",A368&amp;"-")-1),"_RGB.png"))),"https://us.pandora.net/on/demandware.static/-/Sites-pandora-master-catalog/default/dwbb259ca6/productimages/singlepackshot/163797C01_RGB.png")</f>
        <v>https://us.pandora.net/on/demandware.static/-/Sites-pandora-master-catalog/default/dwbb259ca6/productimages/singlepackshot/163797C01_RGB.png</v>
      </c>
    </row>
    <row r="369" spans="1:4" x14ac:dyDescent="0.25">
      <c r="A369" s="3" t="s">
        <v>371</v>
      </c>
      <c r="B369" s="4">
        <v>89</v>
      </c>
      <c r="C369" s="3" t="str">
        <f ca="1">IFERROR(ROWSDUMMYFUNCTION(IF(A369="","",IFERROR(IMAGE(CONCATENATE("https://us.pandora.net/on/demandware.static/-/Sites-pandora-master-catalog/default/dwbb259ca6/productimages/singlepackshot/",LEFT(A369,FIND("-",A369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69" s="5" t="str">
        <f ca="1">IFERROR(ROWSDUMMYFUNCTION(IF(A369="","",CONCATENATE("https://us.pandora.net/on/demandware.static/-/Sites-pandora-master-catalog/default/dwbb259ca6/productimages/singlepackshot/",LEFT(A369,FIND("-",A369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0" spans="1:4" x14ac:dyDescent="0.25">
      <c r="A370" s="3" t="s">
        <v>372</v>
      </c>
      <c r="B370" s="4">
        <v>89</v>
      </c>
      <c r="C370" s="3" t="str">
        <f ca="1">IFERROR(ROWSDUMMYFUNCTION(IF(A370="","",IFERROR(IMAGE(CONCATENATE("https://us.pandora.net/on/demandware.static/-/Sites-pandora-master-catalog/default/dwbb259ca6/productimages/singlepackshot/",LEFT(A370,FIND("-",A370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70" s="5" t="str">
        <f ca="1">IFERROR(ROWSDUMMYFUNCTION(IF(A370="","",CONCATENATE("https://us.pandora.net/on/demandware.static/-/Sites-pandora-master-catalog/default/dwbb259ca6/productimages/singlepackshot/",LEFT(A370,FIND("-",A370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1" spans="1:4" x14ac:dyDescent="0.25">
      <c r="A371" s="3" t="s">
        <v>373</v>
      </c>
      <c r="B371" s="4">
        <v>89</v>
      </c>
      <c r="C371" s="3" t="str">
        <f ca="1">IFERROR(ROWSDUMMYFUNCTION(IF(A371="","",IFERROR(IMAGE(CONCATENATE("https://us.pandora.net/on/demandware.static/-/Sites-pandora-master-catalog/default/dwbb259ca6/productimages/singlepackshot/",LEFT(A371,FIND("-",A371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71" s="5" t="str">
        <f ca="1">IFERROR(ROWSDUMMYFUNCTION(IF(A371="","",CONCATENATE("https://us.pandora.net/on/demandware.static/-/Sites-pandora-master-catalog/default/dwbb259ca6/productimages/singlepackshot/",LEFT(A371,FIND("-",A371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2" spans="1:4" x14ac:dyDescent="0.25">
      <c r="A372" s="3" t="s">
        <v>374</v>
      </c>
      <c r="B372" s="4">
        <v>89</v>
      </c>
      <c r="C372" s="3" t="str">
        <f ca="1">IFERROR(ROWSDUMMYFUNCTION(IF(A372="","",IFERROR(IMAGE(CONCATENATE("https://us.pandora.net/on/demandware.static/-/Sites-pandora-master-catalog/default/dwbb259ca6/productimages/singlepackshot/",LEFT(A372,FIND("-",A372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72" s="5" t="str">
        <f ca="1">IFERROR(ROWSDUMMYFUNCTION(IF(A372="","",CONCATENATE("https://us.pandora.net/on/demandware.static/-/Sites-pandora-master-catalog/default/dwbb259ca6/productimages/singlepackshot/",LEFT(A372,FIND("-",A372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3" spans="1:4" x14ac:dyDescent="0.25">
      <c r="A373" s="3" t="s">
        <v>375</v>
      </c>
      <c r="B373" s="4">
        <v>89</v>
      </c>
      <c r="C373" s="3" t="str">
        <f ca="1">IFERROR(ROWSDUMMYFUNCTION(IF(A373="","",IFERROR(IMAGE(CONCATENATE("https://us.pandora.net/on/demandware.static/-/Sites-pandora-master-catalog/default/dwbb259ca6/productimages/singlepackshot/",LEFT(A373,FIND("-",A373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73" s="5" t="str">
        <f ca="1">IFERROR(ROWSDUMMYFUNCTION(IF(A373="","",CONCATENATE("https://us.pandora.net/on/demandware.static/-/Sites-pandora-master-catalog/default/dwbb259ca6/productimages/singlepackshot/",LEFT(A373,FIND("-",A373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4" spans="1:4" x14ac:dyDescent="0.25">
      <c r="A374" s="3" t="s">
        <v>376</v>
      </c>
      <c r="B374" s="4">
        <v>89</v>
      </c>
      <c r="C374" s="3" t="str">
        <f ca="1">IFERROR(ROWSDUMMYFUNCTION(IF(A374="","",IFERROR(IMAGE(CONCATENATE("https://us.pandora.net/on/demandware.static/-/Sites-pandora-master-catalog/default/dwbb259ca6/productimages/singlepackshot/",LEFT(A374,FIND("-",A374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74" s="5" t="str">
        <f ca="1">IFERROR(ROWSDUMMYFUNCTION(IF(A374="","",CONCATENATE("https://us.pandora.net/on/demandware.static/-/Sites-pandora-master-catalog/default/dwbb259ca6/productimages/singlepackshot/",LEFT(A374,FIND("-",A374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5" spans="1:4" x14ac:dyDescent="0.25">
      <c r="A375" s="3" t="s">
        <v>377</v>
      </c>
      <c r="B375" s="4">
        <v>89</v>
      </c>
      <c r="C375" s="3" t="str">
        <f ca="1">IFERROR(ROWSDUMMYFUNCTION(IF(A375="","",IFERROR(IMAGE(CONCATENATE("https://us.pandora.net/on/demandware.static/-/Sites-pandora-master-catalog/default/dwbb259ca6/productimages/singlepackshot/",LEFT(A375,FIND("-",A375&amp;"-")-1),"_RGB.png")),""))),"{""url"":""https://us.pandora.net/on/demandware.static/-/Sites-pandora-master-catalog/default/dwbb259ca6/productimages/singlepackshot/163799C01_RGB.png"",""mode"":1}")</f>
        <v>{"url":"https://us.pandora.net/on/demandware.static/-/Sites-pandora-master-catalog/default/dwbb259ca6/productimages/singlepackshot/163799C01_RGB.png","mode":1}</v>
      </c>
      <c r="D375" s="5" t="str">
        <f ca="1">IFERROR(ROWSDUMMYFUNCTION(IF(A375="","",CONCATENATE("https://us.pandora.net/on/demandware.static/-/Sites-pandora-master-catalog/default/dwbb259ca6/productimages/singlepackshot/",LEFT(A375,FIND("-",A375&amp;"-")-1),"_RGB.png"))),"https://us.pandora.net/on/demandware.static/-/Sites-pandora-master-catalog/default/dwbb259ca6/productimages/singlepackshot/163799C01_RGB.png")</f>
        <v>https://us.pandora.net/on/demandware.static/-/Sites-pandora-master-catalog/default/dwbb259ca6/productimages/singlepackshot/163799C01_RGB.png</v>
      </c>
    </row>
    <row r="376" spans="1:4" x14ac:dyDescent="0.25">
      <c r="A376" s="3" t="s">
        <v>378</v>
      </c>
      <c r="B376" s="4">
        <v>69</v>
      </c>
      <c r="C376" s="3" t="str">
        <f ca="1">IFERROR(ROWSDUMMYFUNCTION(IF(A376="","",IFERROR(IMAGE(CONCATENATE("https://us.pandora.net/on/demandware.static/-/Sites-pandora-master-catalog/default/dwbb259ca6/productimages/singlepackshot/",LEFT(A376,FIND("-",A376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76" s="5" t="str">
        <f ca="1">IFERROR(ROWSDUMMYFUNCTION(IF(A376="","",CONCATENATE("https://us.pandora.net/on/demandware.static/-/Sites-pandora-master-catalog/default/dwbb259ca6/productimages/singlepackshot/",LEFT(A376,FIND("-",A376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77" spans="1:4" x14ac:dyDescent="0.25">
      <c r="A377" s="3" t="s">
        <v>379</v>
      </c>
      <c r="B377" s="4">
        <v>69</v>
      </c>
      <c r="C377" s="3" t="str">
        <f ca="1">IFERROR(ROWSDUMMYFUNCTION(IF(A377="","",IFERROR(IMAGE(CONCATENATE("https://us.pandora.net/on/demandware.static/-/Sites-pandora-master-catalog/default/dwbb259ca6/productimages/singlepackshot/",LEFT(A377,FIND("-",A377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77" s="5" t="str">
        <f ca="1">IFERROR(ROWSDUMMYFUNCTION(IF(A377="","",CONCATENATE("https://us.pandora.net/on/demandware.static/-/Sites-pandora-master-catalog/default/dwbb259ca6/productimages/singlepackshot/",LEFT(A377,FIND("-",A377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78" spans="1:4" x14ac:dyDescent="0.25">
      <c r="A378" s="3" t="s">
        <v>380</v>
      </c>
      <c r="B378" s="4">
        <v>69</v>
      </c>
      <c r="C378" s="3" t="str">
        <f ca="1">IFERROR(ROWSDUMMYFUNCTION(IF(A378="","",IFERROR(IMAGE(CONCATENATE("https://us.pandora.net/on/demandware.static/-/Sites-pandora-master-catalog/default/dwbb259ca6/productimages/singlepackshot/",LEFT(A378,FIND("-",A378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78" s="5" t="str">
        <f ca="1">IFERROR(ROWSDUMMYFUNCTION(IF(A378="","",CONCATENATE("https://us.pandora.net/on/demandware.static/-/Sites-pandora-master-catalog/default/dwbb259ca6/productimages/singlepackshot/",LEFT(A378,FIND("-",A378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79" spans="1:4" x14ac:dyDescent="0.25">
      <c r="A379" s="3" t="s">
        <v>381</v>
      </c>
      <c r="B379" s="4">
        <v>69</v>
      </c>
      <c r="C379" s="3" t="str">
        <f ca="1">IFERROR(ROWSDUMMYFUNCTION(IF(A379="","",IFERROR(IMAGE(CONCATENATE("https://us.pandora.net/on/demandware.static/-/Sites-pandora-master-catalog/default/dwbb259ca6/productimages/singlepackshot/",LEFT(A379,FIND("-",A379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79" s="5" t="str">
        <f ca="1">IFERROR(ROWSDUMMYFUNCTION(IF(A379="","",CONCATENATE("https://us.pandora.net/on/demandware.static/-/Sites-pandora-master-catalog/default/dwbb259ca6/productimages/singlepackshot/",LEFT(A379,FIND("-",A379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80" spans="1:4" x14ac:dyDescent="0.25">
      <c r="A380" s="3" t="s">
        <v>382</v>
      </c>
      <c r="B380" s="4">
        <v>69</v>
      </c>
      <c r="C380" s="3" t="str">
        <f ca="1">IFERROR(ROWSDUMMYFUNCTION(IF(A380="","",IFERROR(IMAGE(CONCATENATE("https://us.pandora.net/on/demandware.static/-/Sites-pandora-master-catalog/default/dwbb259ca6/productimages/singlepackshot/",LEFT(A380,FIND("-",A380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80" s="5" t="str">
        <f ca="1">IFERROR(ROWSDUMMYFUNCTION(IF(A380="","",CONCATENATE("https://us.pandora.net/on/demandware.static/-/Sites-pandora-master-catalog/default/dwbb259ca6/productimages/singlepackshot/",LEFT(A380,FIND("-",A380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81" spans="1:4" x14ac:dyDescent="0.25">
      <c r="A381" s="3" t="s">
        <v>383</v>
      </c>
      <c r="B381" s="4">
        <v>69</v>
      </c>
      <c r="C381" s="3" t="str">
        <f ca="1">IFERROR(ROWSDUMMYFUNCTION(IF(A381="","",IFERROR(IMAGE(CONCATENATE("https://us.pandora.net/on/demandware.static/-/Sites-pandora-master-catalog/default/dwbb259ca6/productimages/singlepackshot/",LEFT(A381,FIND("-",A381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81" s="5" t="str">
        <f ca="1">IFERROR(ROWSDUMMYFUNCTION(IF(A381="","",CONCATENATE("https://us.pandora.net/on/demandware.static/-/Sites-pandora-master-catalog/default/dwbb259ca6/productimages/singlepackshot/",LEFT(A381,FIND("-",A381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82" spans="1:4" x14ac:dyDescent="0.25">
      <c r="A382" s="3" t="s">
        <v>384</v>
      </c>
      <c r="B382" s="4">
        <v>69</v>
      </c>
      <c r="C382" s="3" t="str">
        <f ca="1">IFERROR(ROWSDUMMYFUNCTION(IF(A382="","",IFERROR(IMAGE(CONCATENATE("https://us.pandora.net/on/demandware.static/-/Sites-pandora-master-catalog/default/dwbb259ca6/productimages/singlepackshot/",LEFT(A382,FIND("-",A382&amp;"-")-1),"_RGB.png")),""))),"{""url"":""https://us.pandora.net/on/demandware.static/-/Sites-pandora-master-catalog/default/dwbb259ca6/productimages/singlepackshot/163800C01_RGB.png"",""mode"":1}")</f>
        <v>{"url":"https://us.pandora.net/on/demandware.static/-/Sites-pandora-master-catalog/default/dwbb259ca6/productimages/singlepackshot/163800C01_RGB.png","mode":1}</v>
      </c>
      <c r="D382" s="5" t="str">
        <f ca="1">IFERROR(ROWSDUMMYFUNCTION(IF(A382="","",CONCATENATE("https://us.pandora.net/on/demandware.static/-/Sites-pandora-master-catalog/default/dwbb259ca6/productimages/singlepackshot/",LEFT(A382,FIND("-",A382&amp;"-")-1),"_RGB.png"))),"https://us.pandora.net/on/demandware.static/-/Sites-pandora-master-catalog/default/dwbb259ca6/productimages/singlepackshot/163800C01_RGB.png")</f>
        <v>https://us.pandora.net/on/demandware.static/-/Sites-pandora-master-catalog/default/dwbb259ca6/productimages/singlepackshot/163800C01_RGB.png</v>
      </c>
    </row>
    <row r="383" spans="1:4" x14ac:dyDescent="0.25">
      <c r="A383" s="3" t="s">
        <v>385</v>
      </c>
      <c r="B383" s="4">
        <v>69</v>
      </c>
      <c r="C383" s="3" t="str">
        <f ca="1">IFERROR(ROWSDUMMYFUNCTION(IF(A383="","",IFERROR(IMAGE(CONCATENATE("https://us.pandora.net/on/demandware.static/-/Sites-pandora-master-catalog/default/dwbb259ca6/productimages/singlepackshot/",LEFT(A383,FIND("-",A383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3" s="5" t="str">
        <f ca="1">IFERROR(ROWSDUMMYFUNCTION(IF(A383="","",CONCATENATE("https://us.pandora.net/on/demandware.static/-/Sites-pandora-master-catalog/default/dwbb259ca6/productimages/singlepackshot/",LEFT(A383,FIND("-",A383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84" spans="1:4" x14ac:dyDescent="0.25">
      <c r="A384" s="3" t="s">
        <v>386</v>
      </c>
      <c r="B384" s="4">
        <v>69</v>
      </c>
      <c r="C384" s="3" t="str">
        <f ca="1">IFERROR(ROWSDUMMYFUNCTION(IF(A384="","",IFERROR(IMAGE(CONCATENATE("https://us.pandora.net/on/demandware.static/-/Sites-pandora-master-catalog/default/dwbb259ca6/productimages/singlepackshot/",LEFT(A384,FIND("-",A384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4" s="5" t="str">
        <f ca="1">IFERROR(ROWSDUMMYFUNCTION(IF(A384="","",CONCATENATE("https://us.pandora.net/on/demandware.static/-/Sites-pandora-master-catalog/default/dwbb259ca6/productimages/singlepackshot/",LEFT(A384,FIND("-",A384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85" spans="1:4" x14ac:dyDescent="0.25">
      <c r="A385" s="3" t="s">
        <v>387</v>
      </c>
      <c r="B385" s="4">
        <v>69</v>
      </c>
      <c r="C385" s="3" t="str">
        <f ca="1">IFERROR(ROWSDUMMYFUNCTION(IF(A385="","",IFERROR(IMAGE(CONCATENATE("https://us.pandora.net/on/demandware.static/-/Sites-pandora-master-catalog/default/dwbb259ca6/productimages/singlepackshot/",LEFT(A385,FIND("-",A385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5" s="5" t="str">
        <f ca="1">IFERROR(ROWSDUMMYFUNCTION(IF(A385="","",CONCATENATE("https://us.pandora.net/on/demandware.static/-/Sites-pandora-master-catalog/default/dwbb259ca6/productimages/singlepackshot/",LEFT(A385,FIND("-",A385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86" spans="1:4" x14ac:dyDescent="0.25">
      <c r="A386" s="3" t="s">
        <v>388</v>
      </c>
      <c r="B386" s="4">
        <v>69</v>
      </c>
      <c r="C386" s="3" t="str">
        <f ca="1">IFERROR(ROWSDUMMYFUNCTION(IF(A386="","",IFERROR(IMAGE(CONCATENATE("https://us.pandora.net/on/demandware.static/-/Sites-pandora-master-catalog/default/dwbb259ca6/productimages/singlepackshot/",LEFT(A386,FIND("-",A386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6" s="5" t="str">
        <f ca="1">IFERROR(ROWSDUMMYFUNCTION(IF(A386="","",CONCATENATE("https://us.pandora.net/on/demandware.static/-/Sites-pandora-master-catalog/default/dwbb259ca6/productimages/singlepackshot/",LEFT(A386,FIND("-",A386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87" spans="1:4" x14ac:dyDescent="0.25">
      <c r="A387" s="3" t="s">
        <v>389</v>
      </c>
      <c r="B387" s="4">
        <v>69</v>
      </c>
      <c r="C387" s="3" t="str">
        <f ca="1">IFERROR(ROWSDUMMYFUNCTION(IF(A387="","",IFERROR(IMAGE(CONCATENATE("https://us.pandora.net/on/demandware.static/-/Sites-pandora-master-catalog/default/dwbb259ca6/productimages/singlepackshot/",LEFT(A387,FIND("-",A387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7" s="5" t="str">
        <f ca="1">IFERROR(ROWSDUMMYFUNCTION(IF(A387="","",CONCATENATE("https://us.pandora.net/on/demandware.static/-/Sites-pandora-master-catalog/default/dwbb259ca6/productimages/singlepackshot/",LEFT(A387,FIND("-",A387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88" spans="1:4" x14ac:dyDescent="0.25">
      <c r="A388" s="3" t="s">
        <v>390</v>
      </c>
      <c r="B388" s="4">
        <v>69</v>
      </c>
      <c r="C388" s="3" t="str">
        <f ca="1">IFERROR(ROWSDUMMYFUNCTION(IF(A388="","",IFERROR(IMAGE(CONCATENATE("https://us.pandora.net/on/demandware.static/-/Sites-pandora-master-catalog/default/dwbb259ca6/productimages/singlepackshot/",LEFT(A388,FIND("-",A388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8" s="5" t="str">
        <f ca="1">IFERROR(ROWSDUMMYFUNCTION(IF(A388="","",CONCATENATE("https://us.pandora.net/on/demandware.static/-/Sites-pandora-master-catalog/default/dwbb259ca6/productimages/singlepackshot/",LEFT(A388,FIND("-",A388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89" spans="1:4" x14ac:dyDescent="0.25">
      <c r="A389" s="3" t="s">
        <v>391</v>
      </c>
      <c r="B389" s="4">
        <v>69</v>
      </c>
      <c r="C389" s="3" t="str">
        <f ca="1">IFERROR(ROWSDUMMYFUNCTION(IF(A389="","",IFERROR(IMAGE(CONCATENATE("https://us.pandora.net/on/demandware.static/-/Sites-pandora-master-catalog/default/dwbb259ca6/productimages/singlepackshot/",LEFT(A389,FIND("-",A389&amp;"-")-1),"_RGB.png")),""))),"{""url"":""https://us.pandora.net/on/demandware.static/-/Sites-pandora-master-catalog/default/dwbb259ca6/productimages/singlepackshot/163801C01_RGB.png"",""mode"":1}")</f>
        <v>{"url":"https://us.pandora.net/on/demandware.static/-/Sites-pandora-master-catalog/default/dwbb259ca6/productimages/singlepackshot/163801C01_RGB.png","mode":1}</v>
      </c>
      <c r="D389" s="5" t="str">
        <f ca="1">IFERROR(ROWSDUMMYFUNCTION(IF(A389="","",CONCATENATE("https://us.pandora.net/on/demandware.static/-/Sites-pandora-master-catalog/default/dwbb259ca6/productimages/singlepackshot/",LEFT(A389,FIND("-",A389&amp;"-")-1),"_RGB.png"))),"https://us.pandora.net/on/demandware.static/-/Sites-pandora-master-catalog/default/dwbb259ca6/productimages/singlepackshot/163801C01_RGB.png")</f>
        <v>https://us.pandora.net/on/demandware.static/-/Sites-pandora-master-catalog/default/dwbb259ca6/productimages/singlepackshot/163801C01_RGB.png</v>
      </c>
    </row>
    <row r="390" spans="1:4" x14ac:dyDescent="0.25">
      <c r="A390" s="3" t="s">
        <v>392</v>
      </c>
      <c r="B390" s="4">
        <v>99</v>
      </c>
      <c r="C390" s="3" t="str">
        <f ca="1">IFERROR(ROWSDUMMYFUNCTION(IF(A390="","",IFERROR(IMAGE(CONCATENATE("https://us.pandora.net/on/demandware.static/-/Sites-pandora-master-catalog/default/dwbb259ca6/productimages/singlepackshot/",LEFT(A390,FIND("-",A390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0" s="5" t="str">
        <f ca="1">IFERROR(ROWSDUMMYFUNCTION(IF(A390="","",CONCATENATE("https://us.pandora.net/on/demandware.static/-/Sites-pandora-master-catalog/default/dwbb259ca6/productimages/singlepackshot/",LEFT(A390,FIND("-",A390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1" spans="1:4" x14ac:dyDescent="0.25">
      <c r="A391" s="3" t="s">
        <v>393</v>
      </c>
      <c r="B391" s="4">
        <v>99</v>
      </c>
      <c r="C391" s="3" t="str">
        <f ca="1">IFERROR(ROWSDUMMYFUNCTION(IF(A391="","",IFERROR(IMAGE(CONCATENATE("https://us.pandora.net/on/demandware.static/-/Sites-pandora-master-catalog/default/dwbb259ca6/productimages/singlepackshot/",LEFT(A391,FIND("-",A391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1" s="5" t="str">
        <f ca="1">IFERROR(ROWSDUMMYFUNCTION(IF(A391="","",CONCATENATE("https://us.pandora.net/on/demandware.static/-/Sites-pandora-master-catalog/default/dwbb259ca6/productimages/singlepackshot/",LEFT(A391,FIND("-",A391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2" spans="1:4" x14ac:dyDescent="0.25">
      <c r="A392" s="3" t="s">
        <v>394</v>
      </c>
      <c r="B392" s="4">
        <v>99</v>
      </c>
      <c r="C392" s="3" t="str">
        <f ca="1">IFERROR(ROWSDUMMYFUNCTION(IF(A392="","",IFERROR(IMAGE(CONCATENATE("https://us.pandora.net/on/demandware.static/-/Sites-pandora-master-catalog/default/dwbb259ca6/productimages/singlepackshot/",LEFT(A392,FIND("-",A392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2" s="5" t="str">
        <f ca="1">IFERROR(ROWSDUMMYFUNCTION(IF(A392="","",CONCATENATE("https://us.pandora.net/on/demandware.static/-/Sites-pandora-master-catalog/default/dwbb259ca6/productimages/singlepackshot/",LEFT(A392,FIND("-",A392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3" spans="1:4" x14ac:dyDescent="0.25">
      <c r="A393" s="3" t="s">
        <v>395</v>
      </c>
      <c r="B393" s="4">
        <v>99</v>
      </c>
      <c r="C393" s="3" t="str">
        <f ca="1">IFERROR(ROWSDUMMYFUNCTION(IF(A393="","",IFERROR(IMAGE(CONCATENATE("https://us.pandora.net/on/demandware.static/-/Sites-pandora-master-catalog/default/dwbb259ca6/productimages/singlepackshot/",LEFT(A393,FIND("-",A393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3" s="5" t="str">
        <f ca="1">IFERROR(ROWSDUMMYFUNCTION(IF(A393="","",CONCATENATE("https://us.pandora.net/on/demandware.static/-/Sites-pandora-master-catalog/default/dwbb259ca6/productimages/singlepackshot/",LEFT(A393,FIND("-",A393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4" spans="1:4" x14ac:dyDescent="0.25">
      <c r="A394" s="3" t="s">
        <v>396</v>
      </c>
      <c r="B394" s="4">
        <v>99</v>
      </c>
      <c r="C394" s="3" t="str">
        <f ca="1">IFERROR(ROWSDUMMYFUNCTION(IF(A394="","",IFERROR(IMAGE(CONCATENATE("https://us.pandora.net/on/demandware.static/-/Sites-pandora-master-catalog/default/dwbb259ca6/productimages/singlepackshot/",LEFT(A394,FIND("-",A394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4" s="5" t="str">
        <f ca="1">IFERROR(ROWSDUMMYFUNCTION(IF(A394="","",CONCATENATE("https://us.pandora.net/on/demandware.static/-/Sites-pandora-master-catalog/default/dwbb259ca6/productimages/singlepackshot/",LEFT(A394,FIND("-",A394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5" spans="1:4" x14ac:dyDescent="0.25">
      <c r="A395" s="3" t="s">
        <v>397</v>
      </c>
      <c r="B395" s="4">
        <v>99</v>
      </c>
      <c r="C395" s="3" t="str">
        <f ca="1">IFERROR(ROWSDUMMYFUNCTION(IF(A395="","",IFERROR(IMAGE(CONCATENATE("https://us.pandora.net/on/demandware.static/-/Sites-pandora-master-catalog/default/dwbb259ca6/productimages/singlepackshot/",LEFT(A395,FIND("-",A395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5" s="5" t="str">
        <f ca="1">IFERROR(ROWSDUMMYFUNCTION(IF(A395="","",CONCATENATE("https://us.pandora.net/on/demandware.static/-/Sites-pandora-master-catalog/default/dwbb259ca6/productimages/singlepackshot/",LEFT(A395,FIND("-",A395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6" spans="1:4" x14ac:dyDescent="0.25">
      <c r="A396" s="3" t="s">
        <v>398</v>
      </c>
      <c r="B396" s="4">
        <v>99</v>
      </c>
      <c r="C396" s="3" t="str">
        <f ca="1">IFERROR(ROWSDUMMYFUNCTION(IF(A396="","",IFERROR(IMAGE(CONCATENATE("https://us.pandora.net/on/demandware.static/-/Sites-pandora-master-catalog/default/dwbb259ca6/productimages/singlepackshot/",LEFT(A396,FIND("-",A396&amp;"-")-1),"_RGB.png")),""))),"{""url"":""https://us.pandora.net/on/demandware.static/-/Sites-pandora-master-catalog/default/dwbb259ca6/productimages/singlepackshot/163802C01_RGB.png"",""mode"":1}")</f>
        <v>{"url":"https://us.pandora.net/on/demandware.static/-/Sites-pandora-master-catalog/default/dwbb259ca6/productimages/singlepackshot/163802C01_RGB.png","mode":1}</v>
      </c>
      <c r="D396" s="5" t="str">
        <f ca="1">IFERROR(ROWSDUMMYFUNCTION(IF(A396="","",CONCATENATE("https://us.pandora.net/on/demandware.static/-/Sites-pandora-master-catalog/default/dwbb259ca6/productimages/singlepackshot/",LEFT(A396,FIND("-",A396&amp;"-")-1),"_RGB.png"))),"https://us.pandora.net/on/demandware.static/-/Sites-pandora-master-catalog/default/dwbb259ca6/productimages/singlepackshot/163802C01_RGB.png")</f>
        <v>https://us.pandora.net/on/demandware.static/-/Sites-pandora-master-catalog/default/dwbb259ca6/productimages/singlepackshot/163802C01_RGB.png</v>
      </c>
    </row>
    <row r="397" spans="1:4" x14ac:dyDescent="0.25">
      <c r="A397" s="3" t="s">
        <v>399</v>
      </c>
      <c r="B397" s="4">
        <v>99</v>
      </c>
      <c r="C397" s="3" t="str">
        <f ca="1">IFERROR(ROWSDUMMYFUNCTION(IF(A397="","",IFERROR(IMAGE(CONCATENATE("https://us.pandora.net/on/demandware.static/-/Sites-pandora-master-catalog/default/dwbb259ca6/productimages/singlepackshot/",LEFT(A397,FIND("-",A397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397" s="5" t="str">
        <f ca="1">IFERROR(ROWSDUMMYFUNCTION(IF(A397="","",CONCATENATE("https://us.pandora.net/on/demandware.static/-/Sites-pandora-master-catalog/default/dwbb259ca6/productimages/singlepackshot/",LEFT(A397,FIND("-",A397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398" spans="1:4" x14ac:dyDescent="0.25">
      <c r="A398" s="3" t="s">
        <v>400</v>
      </c>
      <c r="B398" s="4">
        <v>99</v>
      </c>
      <c r="C398" s="3" t="str">
        <f ca="1">IFERROR(ROWSDUMMYFUNCTION(IF(A398="","",IFERROR(IMAGE(CONCATENATE("https://us.pandora.net/on/demandware.static/-/Sites-pandora-master-catalog/default/dwbb259ca6/productimages/singlepackshot/",LEFT(A398,FIND("-",A398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398" s="5" t="str">
        <f ca="1">IFERROR(ROWSDUMMYFUNCTION(IF(A398="","",CONCATENATE("https://us.pandora.net/on/demandware.static/-/Sites-pandora-master-catalog/default/dwbb259ca6/productimages/singlepackshot/",LEFT(A398,FIND("-",A398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399" spans="1:4" x14ac:dyDescent="0.25">
      <c r="A399" s="3" t="s">
        <v>401</v>
      </c>
      <c r="B399" s="4">
        <v>99</v>
      </c>
      <c r="C399" s="3" t="str">
        <f ca="1">IFERROR(ROWSDUMMYFUNCTION(IF(A399="","",IFERROR(IMAGE(CONCATENATE("https://us.pandora.net/on/demandware.static/-/Sites-pandora-master-catalog/default/dwbb259ca6/productimages/singlepackshot/",LEFT(A399,FIND("-",A399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399" s="5" t="str">
        <f ca="1">IFERROR(ROWSDUMMYFUNCTION(IF(A399="","",CONCATENATE("https://us.pandora.net/on/demandware.static/-/Sites-pandora-master-catalog/default/dwbb259ca6/productimages/singlepackshot/",LEFT(A399,FIND("-",A399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400" spans="1:4" x14ac:dyDescent="0.25">
      <c r="A400" s="3" t="s">
        <v>402</v>
      </c>
      <c r="B400" s="4">
        <v>99</v>
      </c>
      <c r="C400" s="3" t="str">
        <f ca="1">IFERROR(ROWSDUMMYFUNCTION(IF(A400="","",IFERROR(IMAGE(CONCATENATE("https://us.pandora.net/on/demandware.static/-/Sites-pandora-master-catalog/default/dwbb259ca6/productimages/singlepackshot/",LEFT(A400,FIND("-",A400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400" s="5" t="str">
        <f ca="1">IFERROR(ROWSDUMMYFUNCTION(IF(A400="","",CONCATENATE("https://us.pandora.net/on/demandware.static/-/Sites-pandora-master-catalog/default/dwbb259ca6/productimages/singlepackshot/",LEFT(A400,FIND("-",A400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401" spans="1:4" x14ac:dyDescent="0.25">
      <c r="A401" s="3" t="s">
        <v>403</v>
      </c>
      <c r="B401" s="4">
        <v>99</v>
      </c>
      <c r="C401" s="3" t="str">
        <f ca="1">IFERROR(ROWSDUMMYFUNCTION(IF(A401="","",IFERROR(IMAGE(CONCATENATE("https://us.pandora.net/on/demandware.static/-/Sites-pandora-master-catalog/default/dwbb259ca6/productimages/singlepackshot/",LEFT(A401,FIND("-",A401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401" s="5" t="str">
        <f ca="1">IFERROR(ROWSDUMMYFUNCTION(IF(A401="","",CONCATENATE("https://us.pandora.net/on/demandware.static/-/Sites-pandora-master-catalog/default/dwbb259ca6/productimages/singlepackshot/",LEFT(A401,FIND("-",A401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402" spans="1:4" x14ac:dyDescent="0.25">
      <c r="A402" s="3" t="s">
        <v>404</v>
      </c>
      <c r="B402" s="4">
        <v>99</v>
      </c>
      <c r="C402" s="3" t="str">
        <f ca="1">IFERROR(ROWSDUMMYFUNCTION(IF(A402="","",IFERROR(IMAGE(CONCATENATE("https://us.pandora.net/on/demandware.static/-/Sites-pandora-master-catalog/default/dwbb259ca6/productimages/singlepackshot/",LEFT(A402,FIND("-",A402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402" s="5" t="str">
        <f ca="1">IFERROR(ROWSDUMMYFUNCTION(IF(A402="","",CONCATENATE("https://us.pandora.net/on/demandware.static/-/Sites-pandora-master-catalog/default/dwbb259ca6/productimages/singlepackshot/",LEFT(A402,FIND("-",A402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403" spans="1:4" x14ac:dyDescent="0.25">
      <c r="A403" s="3" t="s">
        <v>405</v>
      </c>
      <c r="B403" s="4">
        <v>99</v>
      </c>
      <c r="C403" s="3" t="str">
        <f ca="1">IFERROR(ROWSDUMMYFUNCTION(IF(A403="","",IFERROR(IMAGE(CONCATENATE("https://us.pandora.net/on/demandware.static/-/Sites-pandora-master-catalog/default/dwbb259ca6/productimages/singlepackshot/",LEFT(A403,FIND("-",A403&amp;"-")-1),"_RGB.png")),""))),"{""url"":""https://us.pandora.net/on/demandware.static/-/Sites-pandora-master-catalog/default/dwbb259ca6/productimages/singlepackshot/163831C01_RGB.png"",""mode"":1}")</f>
        <v>{"url":"https://us.pandora.net/on/demandware.static/-/Sites-pandora-master-catalog/default/dwbb259ca6/productimages/singlepackshot/163831C01_RGB.png","mode":1}</v>
      </c>
      <c r="D403" s="5" t="str">
        <f ca="1">IFERROR(ROWSDUMMYFUNCTION(IF(A403="","",CONCATENATE("https://us.pandora.net/on/demandware.static/-/Sites-pandora-master-catalog/default/dwbb259ca6/productimages/singlepackshot/",LEFT(A403,FIND("-",A403&amp;"-")-1),"_RGB.png"))),"https://us.pandora.net/on/demandware.static/-/Sites-pandora-master-catalog/default/dwbb259ca6/productimages/singlepackshot/163831C01_RGB.png")</f>
        <v>https://us.pandora.net/on/demandware.static/-/Sites-pandora-master-catalog/default/dwbb259ca6/productimages/singlepackshot/163831C01_RGB.png</v>
      </c>
    </row>
    <row r="404" spans="1:4" x14ac:dyDescent="0.25">
      <c r="A404" s="3" t="s">
        <v>406</v>
      </c>
      <c r="B404" s="4">
        <v>129</v>
      </c>
      <c r="C404" s="3" t="str">
        <f ca="1">IFERROR(ROWSDUMMYFUNCTION(IF(A404="","",IFERROR(IMAGE(CONCATENATE("https://us.pandora.net/on/demandware.static/-/Sites-pandora-master-catalog/default/dwbb259ca6/productimages/singlepackshot/",LEFT(A404,FIND("-",A404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04" s="5" t="str">
        <f ca="1">IFERROR(ROWSDUMMYFUNCTION(IF(A404="","",CONCATENATE("https://us.pandora.net/on/demandware.static/-/Sites-pandora-master-catalog/default/dwbb259ca6/productimages/singlepackshot/",LEFT(A404,FIND("-",A404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05" spans="1:4" x14ac:dyDescent="0.25">
      <c r="A405" s="3" t="s">
        <v>407</v>
      </c>
      <c r="B405" s="4">
        <v>129</v>
      </c>
      <c r="C405" s="3" t="str">
        <f ca="1">IFERROR(ROWSDUMMYFUNCTION(IF(A405="","",IFERROR(IMAGE(CONCATENATE("https://us.pandora.net/on/demandware.static/-/Sites-pandora-master-catalog/default/dwbb259ca6/productimages/singlepackshot/",LEFT(A405,FIND("-",A405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05" s="5" t="str">
        <f ca="1">IFERROR(ROWSDUMMYFUNCTION(IF(A405="","",CONCATENATE("https://us.pandora.net/on/demandware.static/-/Sites-pandora-master-catalog/default/dwbb259ca6/productimages/singlepackshot/",LEFT(A405,FIND("-",A405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06" spans="1:4" x14ac:dyDescent="0.25">
      <c r="A406" s="3" t="s">
        <v>408</v>
      </c>
      <c r="B406" s="4">
        <v>129</v>
      </c>
      <c r="C406" s="3" t="str">
        <f ca="1">IFERROR(ROWSDUMMYFUNCTION(IF(A406="","",IFERROR(IMAGE(CONCATENATE("https://us.pandora.net/on/demandware.static/-/Sites-pandora-master-catalog/default/dwbb259ca6/productimages/singlepackshot/",LEFT(A406,FIND("-",A406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06" s="5" t="str">
        <f ca="1">IFERROR(ROWSDUMMYFUNCTION(IF(A406="","",CONCATENATE("https://us.pandora.net/on/demandware.static/-/Sites-pandora-master-catalog/default/dwbb259ca6/productimages/singlepackshot/",LEFT(A406,FIND("-",A406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07" spans="1:4" x14ac:dyDescent="0.25">
      <c r="A407" s="3" t="s">
        <v>409</v>
      </c>
      <c r="B407" s="4">
        <v>129</v>
      </c>
      <c r="C407" s="3" t="str">
        <f ca="1">IFERROR(ROWSDUMMYFUNCTION(IF(A407="","",IFERROR(IMAGE(CONCATENATE("https://us.pandora.net/on/demandware.static/-/Sites-pandora-master-catalog/default/dwbb259ca6/productimages/singlepackshot/",LEFT(A407,FIND("-",A407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07" s="5" t="str">
        <f ca="1">IFERROR(ROWSDUMMYFUNCTION(IF(A407="","",CONCATENATE("https://us.pandora.net/on/demandware.static/-/Sites-pandora-master-catalog/default/dwbb259ca6/productimages/singlepackshot/",LEFT(A407,FIND("-",A407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08" spans="1:4" x14ac:dyDescent="0.25">
      <c r="A408" s="3" t="s">
        <v>410</v>
      </c>
      <c r="B408" s="4">
        <v>129</v>
      </c>
      <c r="C408" s="3" t="str">
        <f ca="1">IFERROR(ROWSDUMMYFUNCTION(IF(A408="","",IFERROR(IMAGE(CONCATENATE("https://us.pandora.net/on/demandware.static/-/Sites-pandora-master-catalog/default/dwbb259ca6/productimages/singlepackshot/",LEFT(A408,FIND("-",A408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08" s="5" t="str">
        <f ca="1">IFERROR(ROWSDUMMYFUNCTION(IF(A408="","",CONCATENATE("https://us.pandora.net/on/demandware.static/-/Sites-pandora-master-catalog/default/dwbb259ca6/productimages/singlepackshot/",LEFT(A408,FIND("-",A408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09" spans="1:4" x14ac:dyDescent="0.25">
      <c r="A409" s="3" t="s">
        <v>411</v>
      </c>
      <c r="B409" s="4">
        <v>129</v>
      </c>
      <c r="C409" s="3" t="str">
        <f ca="1">IFERROR(ROWSDUMMYFUNCTION(IF(A409="","",IFERROR(IMAGE(CONCATENATE("https://us.pandora.net/on/demandware.static/-/Sites-pandora-master-catalog/default/dwbb259ca6/productimages/singlepackshot/",LEFT(A409,FIND("-",A409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09" s="5" t="str">
        <f ca="1">IFERROR(ROWSDUMMYFUNCTION(IF(A409="","",CONCATENATE("https://us.pandora.net/on/demandware.static/-/Sites-pandora-master-catalog/default/dwbb259ca6/productimages/singlepackshot/",LEFT(A409,FIND("-",A409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10" spans="1:4" x14ac:dyDescent="0.25">
      <c r="A410" s="3" t="s">
        <v>412</v>
      </c>
      <c r="B410" s="4">
        <v>129</v>
      </c>
      <c r="C410" s="3" t="str">
        <f ca="1">IFERROR(ROWSDUMMYFUNCTION(IF(A410="","",IFERROR(IMAGE(CONCATENATE("https://us.pandora.net/on/demandware.static/-/Sites-pandora-master-catalog/default/dwbb259ca6/productimages/singlepackshot/",LEFT(A410,FIND("-",A410&amp;"-")-1),"_RGB.png")),""))),"{""url"":""https://us.pandora.net/on/demandware.static/-/Sites-pandora-master-catalog/default/dwbb259ca6/productimages/singlepackshot/163832C00_RGB.png"",""mode"":1}")</f>
        <v>{"url":"https://us.pandora.net/on/demandware.static/-/Sites-pandora-master-catalog/default/dwbb259ca6/productimages/singlepackshot/163832C00_RGB.png","mode":1}</v>
      </c>
      <c r="D410" s="5" t="str">
        <f ca="1">IFERROR(ROWSDUMMYFUNCTION(IF(A410="","",CONCATENATE("https://us.pandora.net/on/demandware.static/-/Sites-pandora-master-catalog/default/dwbb259ca6/productimages/singlepackshot/",LEFT(A410,FIND("-",A410&amp;"-")-1),"_RGB.png"))),"https://us.pandora.net/on/demandware.static/-/Sites-pandora-master-catalog/default/dwbb259ca6/productimages/singlepackshot/163832C00_RGB.png")</f>
        <v>https://us.pandora.net/on/demandware.static/-/Sites-pandora-master-catalog/default/dwbb259ca6/productimages/singlepackshot/163832C00_RGB.png</v>
      </c>
    </row>
    <row r="411" spans="1:4" x14ac:dyDescent="0.25">
      <c r="A411" s="3" t="s">
        <v>413</v>
      </c>
      <c r="B411" s="4">
        <v>119</v>
      </c>
      <c r="C411" s="3" t="str">
        <f ca="1">IFERROR(ROWSDUMMYFUNCTION(IF(A411="","",IFERROR(IMAGE(CONCATENATE("https://us.pandora.net/on/demandware.static/-/Sites-pandora-master-catalog/default/dwbb259ca6/productimages/singlepackshot/",LEFT(A411,FIND("-",A411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1" s="5" t="str">
        <f ca="1">IFERROR(ROWSDUMMYFUNCTION(IF(A411="","",CONCATENATE("https://us.pandora.net/on/demandware.static/-/Sites-pandora-master-catalog/default/dwbb259ca6/productimages/singlepackshot/",LEFT(A411,FIND("-",A411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2" spans="1:4" x14ac:dyDescent="0.25">
      <c r="A412" s="3" t="s">
        <v>414</v>
      </c>
      <c r="B412" s="4">
        <v>119</v>
      </c>
      <c r="C412" s="3" t="str">
        <f ca="1">IFERROR(ROWSDUMMYFUNCTION(IF(A412="","",IFERROR(IMAGE(CONCATENATE("https://us.pandora.net/on/demandware.static/-/Sites-pandora-master-catalog/default/dwbb259ca6/productimages/singlepackshot/",LEFT(A412,FIND("-",A412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2" s="5" t="str">
        <f ca="1">IFERROR(ROWSDUMMYFUNCTION(IF(A412="","",CONCATENATE("https://us.pandora.net/on/demandware.static/-/Sites-pandora-master-catalog/default/dwbb259ca6/productimages/singlepackshot/",LEFT(A412,FIND("-",A412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3" spans="1:4" x14ac:dyDescent="0.25">
      <c r="A413" s="3" t="s">
        <v>415</v>
      </c>
      <c r="B413" s="4">
        <v>119</v>
      </c>
      <c r="C413" s="3" t="str">
        <f ca="1">IFERROR(ROWSDUMMYFUNCTION(IF(A413="","",IFERROR(IMAGE(CONCATENATE("https://us.pandora.net/on/demandware.static/-/Sites-pandora-master-catalog/default/dwbb259ca6/productimages/singlepackshot/",LEFT(A413,FIND("-",A413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3" s="5" t="str">
        <f ca="1">IFERROR(ROWSDUMMYFUNCTION(IF(A413="","",CONCATENATE("https://us.pandora.net/on/demandware.static/-/Sites-pandora-master-catalog/default/dwbb259ca6/productimages/singlepackshot/",LEFT(A413,FIND("-",A413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4" spans="1:4" x14ac:dyDescent="0.25">
      <c r="A414" s="3" t="s">
        <v>416</v>
      </c>
      <c r="B414" s="4">
        <v>119</v>
      </c>
      <c r="C414" s="3" t="str">
        <f ca="1">IFERROR(ROWSDUMMYFUNCTION(IF(A414="","",IFERROR(IMAGE(CONCATENATE("https://us.pandora.net/on/demandware.static/-/Sites-pandora-master-catalog/default/dwbb259ca6/productimages/singlepackshot/",LEFT(A414,FIND("-",A414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4" s="5" t="str">
        <f ca="1">IFERROR(ROWSDUMMYFUNCTION(IF(A414="","",CONCATENATE("https://us.pandora.net/on/demandware.static/-/Sites-pandora-master-catalog/default/dwbb259ca6/productimages/singlepackshot/",LEFT(A414,FIND("-",A414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5" spans="1:4" x14ac:dyDescent="0.25">
      <c r="A415" s="3" t="s">
        <v>417</v>
      </c>
      <c r="B415" s="4">
        <v>119</v>
      </c>
      <c r="C415" s="3" t="str">
        <f ca="1">IFERROR(ROWSDUMMYFUNCTION(IF(A415="","",IFERROR(IMAGE(CONCATENATE("https://us.pandora.net/on/demandware.static/-/Sites-pandora-master-catalog/default/dwbb259ca6/productimages/singlepackshot/",LEFT(A415,FIND("-",A415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5" s="5" t="str">
        <f ca="1">IFERROR(ROWSDUMMYFUNCTION(IF(A415="","",CONCATENATE("https://us.pandora.net/on/demandware.static/-/Sites-pandora-master-catalog/default/dwbb259ca6/productimages/singlepackshot/",LEFT(A415,FIND("-",A415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6" spans="1:4" x14ac:dyDescent="0.25">
      <c r="A416" s="3" t="s">
        <v>418</v>
      </c>
      <c r="B416" s="4">
        <v>119</v>
      </c>
      <c r="C416" s="3" t="str">
        <f ca="1">IFERROR(ROWSDUMMYFUNCTION(IF(A416="","",IFERROR(IMAGE(CONCATENATE("https://us.pandora.net/on/demandware.static/-/Sites-pandora-master-catalog/default/dwbb259ca6/productimages/singlepackshot/",LEFT(A416,FIND("-",A416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6" s="5" t="str">
        <f ca="1">IFERROR(ROWSDUMMYFUNCTION(IF(A416="","",CONCATENATE("https://us.pandora.net/on/demandware.static/-/Sites-pandora-master-catalog/default/dwbb259ca6/productimages/singlepackshot/",LEFT(A416,FIND("-",A416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7" spans="1:4" x14ac:dyDescent="0.25">
      <c r="A417" s="3" t="s">
        <v>419</v>
      </c>
      <c r="B417" s="4">
        <v>119</v>
      </c>
      <c r="C417" s="3" t="str">
        <f ca="1">IFERROR(ROWSDUMMYFUNCTION(IF(A417="","",IFERROR(IMAGE(CONCATENATE("https://us.pandora.net/on/demandware.static/-/Sites-pandora-master-catalog/default/dwbb259ca6/productimages/singlepackshot/",LEFT(A417,FIND("-",A417&amp;"-")-1),"_RGB.png")),""))),"{""url"":""https://us.pandora.net/on/demandware.static/-/Sites-pandora-master-catalog/default/dwbb259ca6/productimages/singlepackshot/163884C00_RGB.png"",""mode"":1}")</f>
        <v>{"url":"https://us.pandora.net/on/demandware.static/-/Sites-pandora-master-catalog/default/dwbb259ca6/productimages/singlepackshot/163884C00_RGB.png","mode":1}</v>
      </c>
      <c r="D417" s="5" t="str">
        <f ca="1">IFERROR(ROWSDUMMYFUNCTION(IF(A417="","",CONCATENATE("https://us.pandora.net/on/demandware.static/-/Sites-pandora-master-catalog/default/dwbb259ca6/productimages/singlepackshot/",LEFT(A417,FIND("-",A417&amp;"-")-1),"_RGB.png"))),"https://us.pandora.net/on/demandware.static/-/Sites-pandora-master-catalog/default/dwbb259ca6/productimages/singlepackshot/163884C00_RGB.png")</f>
        <v>https://us.pandora.net/on/demandware.static/-/Sites-pandora-master-catalog/default/dwbb259ca6/productimages/singlepackshot/163884C00_RGB.png</v>
      </c>
    </row>
    <row r="418" spans="1:4" x14ac:dyDescent="0.25">
      <c r="A418" s="3" t="s">
        <v>420</v>
      </c>
      <c r="B418" s="4">
        <v>59</v>
      </c>
      <c r="C418" s="3" t="str">
        <f ca="1">IFERROR(ROWSDUMMYFUNCTION(IF(A418="","",IFERROR(IMAGE(CONCATENATE("https://us.pandora.net/on/demandware.static/-/Sites-pandora-master-catalog/default/dwbb259ca6/productimages/singlepackshot/",LEFT(A418,FIND("-",A418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18" s="5" t="str">
        <f ca="1">IFERROR(ROWSDUMMYFUNCTION(IF(A418="","",CONCATENATE("https://us.pandora.net/on/demandware.static/-/Sites-pandora-master-catalog/default/dwbb259ca6/productimages/singlepackshot/",LEFT(A418,FIND("-",A418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19" spans="1:4" x14ac:dyDescent="0.25">
      <c r="A419" s="3" t="s">
        <v>421</v>
      </c>
      <c r="B419" s="4">
        <v>59</v>
      </c>
      <c r="C419" s="3" t="str">
        <f ca="1">IFERROR(ROWSDUMMYFUNCTION(IF(A419="","",IFERROR(IMAGE(CONCATENATE("https://us.pandora.net/on/demandware.static/-/Sites-pandora-master-catalog/default/dwbb259ca6/productimages/singlepackshot/",LEFT(A419,FIND("-",A419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19" s="5" t="str">
        <f ca="1">IFERROR(ROWSDUMMYFUNCTION(IF(A419="","",CONCATENATE("https://us.pandora.net/on/demandware.static/-/Sites-pandora-master-catalog/default/dwbb259ca6/productimages/singlepackshot/",LEFT(A419,FIND("-",A419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20" spans="1:4" x14ac:dyDescent="0.25">
      <c r="A420" s="3" t="s">
        <v>422</v>
      </c>
      <c r="B420" s="4">
        <v>59</v>
      </c>
      <c r="C420" s="3" t="str">
        <f ca="1">IFERROR(ROWSDUMMYFUNCTION(IF(A420="","",IFERROR(IMAGE(CONCATENATE("https://us.pandora.net/on/demandware.static/-/Sites-pandora-master-catalog/default/dwbb259ca6/productimages/singlepackshot/",LEFT(A420,FIND("-",A420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20" s="5" t="str">
        <f ca="1">IFERROR(ROWSDUMMYFUNCTION(IF(A420="","",CONCATENATE("https://us.pandora.net/on/demandware.static/-/Sites-pandora-master-catalog/default/dwbb259ca6/productimages/singlepackshot/",LEFT(A420,FIND("-",A420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21" spans="1:4" x14ac:dyDescent="0.25">
      <c r="A421" s="3" t="s">
        <v>423</v>
      </c>
      <c r="B421" s="4">
        <v>59</v>
      </c>
      <c r="C421" s="3" t="str">
        <f ca="1">IFERROR(ROWSDUMMYFUNCTION(IF(A421="","",IFERROR(IMAGE(CONCATENATE("https://us.pandora.net/on/demandware.static/-/Sites-pandora-master-catalog/default/dwbb259ca6/productimages/singlepackshot/",LEFT(A421,FIND("-",A421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21" s="5" t="str">
        <f ca="1">IFERROR(ROWSDUMMYFUNCTION(IF(A421="","",CONCATENATE("https://us.pandora.net/on/demandware.static/-/Sites-pandora-master-catalog/default/dwbb259ca6/productimages/singlepackshot/",LEFT(A421,FIND("-",A421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22" spans="1:4" x14ac:dyDescent="0.25">
      <c r="A422" s="3" t="s">
        <v>424</v>
      </c>
      <c r="B422" s="4">
        <v>59</v>
      </c>
      <c r="C422" s="3" t="str">
        <f ca="1">IFERROR(ROWSDUMMYFUNCTION(IF(A422="","",IFERROR(IMAGE(CONCATENATE("https://us.pandora.net/on/demandware.static/-/Sites-pandora-master-catalog/default/dwbb259ca6/productimages/singlepackshot/",LEFT(A422,FIND("-",A422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22" s="5" t="str">
        <f ca="1">IFERROR(ROWSDUMMYFUNCTION(IF(A422="","",CONCATENATE("https://us.pandora.net/on/demandware.static/-/Sites-pandora-master-catalog/default/dwbb259ca6/productimages/singlepackshot/",LEFT(A422,FIND("-",A422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23" spans="1:4" x14ac:dyDescent="0.25">
      <c r="A423" s="3" t="s">
        <v>425</v>
      </c>
      <c r="B423" s="4">
        <v>59</v>
      </c>
      <c r="C423" s="3" t="str">
        <f ca="1">IFERROR(ROWSDUMMYFUNCTION(IF(A423="","",IFERROR(IMAGE(CONCATENATE("https://us.pandora.net/on/demandware.static/-/Sites-pandora-master-catalog/default/dwbb259ca6/productimages/singlepackshot/",LEFT(A423,FIND("-",A423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23" s="5" t="str">
        <f ca="1">IFERROR(ROWSDUMMYFUNCTION(IF(A423="","",CONCATENATE("https://us.pandora.net/on/demandware.static/-/Sites-pandora-master-catalog/default/dwbb259ca6/productimages/singlepackshot/",LEFT(A423,FIND("-",A423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24" spans="1:4" x14ac:dyDescent="0.25">
      <c r="A424" s="3" t="s">
        <v>426</v>
      </c>
      <c r="B424" s="4">
        <v>59</v>
      </c>
      <c r="C424" s="3" t="str">
        <f ca="1">IFERROR(ROWSDUMMYFUNCTION(IF(A424="","",IFERROR(IMAGE(CONCATENATE("https://us.pandora.net/on/demandware.static/-/Sites-pandora-master-catalog/default/dwbb259ca6/productimages/singlepackshot/",LEFT(A424,FIND("-",A424&amp;"-")-1),"_RGB.png")),""))),"{""url"":""https://us.pandora.net/on/demandware.static/-/Sites-pandora-master-catalog/default/dwbb259ca6/productimages/singlepackshot/163885C00_RGB.png"",""mode"":1}")</f>
        <v>{"url":"https://us.pandora.net/on/demandware.static/-/Sites-pandora-master-catalog/default/dwbb259ca6/productimages/singlepackshot/163885C00_RGB.png","mode":1}</v>
      </c>
      <c r="D424" s="5" t="str">
        <f ca="1">IFERROR(ROWSDUMMYFUNCTION(IF(A424="","",CONCATENATE("https://us.pandora.net/on/demandware.static/-/Sites-pandora-master-catalog/default/dwbb259ca6/productimages/singlepackshot/",LEFT(A424,FIND("-",A424&amp;"-")-1),"_RGB.png"))),"https://us.pandora.net/on/demandware.static/-/Sites-pandora-master-catalog/default/dwbb259ca6/productimages/singlepackshot/163885C00_RGB.png")</f>
        <v>https://us.pandora.net/on/demandware.static/-/Sites-pandora-master-catalog/default/dwbb259ca6/productimages/singlepackshot/163885C00_RGB.png</v>
      </c>
    </row>
    <row r="425" spans="1:4" x14ac:dyDescent="0.25">
      <c r="A425" s="3" t="s">
        <v>427</v>
      </c>
      <c r="B425" s="4">
        <v>99</v>
      </c>
      <c r="C425" s="3" t="str">
        <f ca="1">IFERROR(ROWSDUMMYFUNCTION(IF(A425="","",IFERROR(IMAGE(CONCATENATE("https://us.pandora.net/on/demandware.static/-/Sites-pandora-master-catalog/default/dwbb259ca6/productimages/singlepackshot/",LEFT(A425,FIND("-",A425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25" s="5" t="str">
        <f ca="1">IFERROR(ROWSDUMMYFUNCTION(IF(A425="","",CONCATENATE("https://us.pandora.net/on/demandware.static/-/Sites-pandora-master-catalog/default/dwbb259ca6/productimages/singlepackshot/",LEFT(A425,FIND("-",A425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26" spans="1:4" x14ac:dyDescent="0.25">
      <c r="A426" s="3" t="s">
        <v>428</v>
      </c>
      <c r="B426" s="4">
        <v>99</v>
      </c>
      <c r="C426" s="3" t="str">
        <f ca="1">IFERROR(ROWSDUMMYFUNCTION(IF(A426="","",IFERROR(IMAGE(CONCATENATE("https://us.pandora.net/on/demandware.static/-/Sites-pandora-master-catalog/default/dwbb259ca6/productimages/singlepackshot/",LEFT(A426,FIND("-",A426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26" s="5" t="str">
        <f ca="1">IFERROR(ROWSDUMMYFUNCTION(IF(A426="","",CONCATENATE("https://us.pandora.net/on/demandware.static/-/Sites-pandora-master-catalog/default/dwbb259ca6/productimages/singlepackshot/",LEFT(A426,FIND("-",A426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27" spans="1:4" x14ac:dyDescent="0.25">
      <c r="A427" s="3" t="s">
        <v>429</v>
      </c>
      <c r="B427" s="4">
        <v>99</v>
      </c>
      <c r="C427" s="3" t="str">
        <f ca="1">IFERROR(ROWSDUMMYFUNCTION(IF(A427="","",IFERROR(IMAGE(CONCATENATE("https://us.pandora.net/on/demandware.static/-/Sites-pandora-master-catalog/default/dwbb259ca6/productimages/singlepackshot/",LEFT(A427,FIND("-",A427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27" s="5" t="str">
        <f ca="1">IFERROR(ROWSDUMMYFUNCTION(IF(A427="","",CONCATENATE("https://us.pandora.net/on/demandware.static/-/Sites-pandora-master-catalog/default/dwbb259ca6/productimages/singlepackshot/",LEFT(A427,FIND("-",A427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28" spans="1:4" x14ac:dyDescent="0.25">
      <c r="A428" s="3" t="s">
        <v>430</v>
      </c>
      <c r="B428" s="4">
        <v>99</v>
      </c>
      <c r="C428" s="3" t="str">
        <f ca="1">IFERROR(ROWSDUMMYFUNCTION(IF(A428="","",IFERROR(IMAGE(CONCATENATE("https://us.pandora.net/on/demandware.static/-/Sites-pandora-master-catalog/default/dwbb259ca6/productimages/singlepackshot/",LEFT(A428,FIND("-",A428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28" s="5" t="str">
        <f ca="1">IFERROR(ROWSDUMMYFUNCTION(IF(A428="","",CONCATENATE("https://us.pandora.net/on/demandware.static/-/Sites-pandora-master-catalog/default/dwbb259ca6/productimages/singlepackshot/",LEFT(A428,FIND("-",A428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29" spans="1:4" x14ac:dyDescent="0.25">
      <c r="A429" s="3" t="s">
        <v>431</v>
      </c>
      <c r="B429" s="4">
        <v>99</v>
      </c>
      <c r="C429" s="3" t="str">
        <f ca="1">IFERROR(ROWSDUMMYFUNCTION(IF(A429="","",IFERROR(IMAGE(CONCATENATE("https://us.pandora.net/on/demandware.static/-/Sites-pandora-master-catalog/default/dwbb259ca6/productimages/singlepackshot/",LEFT(A429,FIND("-",A429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29" s="5" t="str">
        <f ca="1">IFERROR(ROWSDUMMYFUNCTION(IF(A429="","",CONCATENATE("https://us.pandora.net/on/demandware.static/-/Sites-pandora-master-catalog/default/dwbb259ca6/productimages/singlepackshot/",LEFT(A429,FIND("-",A429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30" spans="1:4" x14ac:dyDescent="0.25">
      <c r="A430" s="3" t="s">
        <v>432</v>
      </c>
      <c r="B430" s="4">
        <v>99</v>
      </c>
      <c r="C430" s="3" t="str">
        <f ca="1">IFERROR(ROWSDUMMYFUNCTION(IF(A430="","",IFERROR(IMAGE(CONCATENATE("https://us.pandora.net/on/demandware.static/-/Sites-pandora-master-catalog/default/dwbb259ca6/productimages/singlepackshot/",LEFT(A430,FIND("-",A430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30" s="5" t="str">
        <f ca="1">IFERROR(ROWSDUMMYFUNCTION(IF(A430="","",CONCATENATE("https://us.pandora.net/on/demandware.static/-/Sites-pandora-master-catalog/default/dwbb259ca6/productimages/singlepackshot/",LEFT(A430,FIND("-",A430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31" spans="1:4" x14ac:dyDescent="0.25">
      <c r="A431" s="3" t="s">
        <v>433</v>
      </c>
      <c r="B431" s="4">
        <v>99</v>
      </c>
      <c r="C431" s="3" t="str">
        <f ca="1">IFERROR(ROWSDUMMYFUNCTION(IF(A431="","",IFERROR(IMAGE(CONCATENATE("https://us.pandora.net/on/demandware.static/-/Sites-pandora-master-catalog/default/dwbb259ca6/productimages/singlepackshot/",LEFT(A431,FIND("-",A431&amp;"-")-1),"_RGB.png")),""))),"{""url"":""https://us.pandora.net/on/demandware.static/-/Sites-pandora-master-catalog/default/dwbb259ca6/productimages/singlepackshot/163886C00_RGB.png"",""mode"":1}")</f>
        <v>{"url":"https://us.pandora.net/on/demandware.static/-/Sites-pandora-master-catalog/default/dwbb259ca6/productimages/singlepackshot/163886C00_RGB.png","mode":1}</v>
      </c>
      <c r="D431" s="5" t="str">
        <f ca="1">IFERROR(ROWSDUMMYFUNCTION(IF(A431="","",CONCATENATE("https://us.pandora.net/on/demandware.static/-/Sites-pandora-master-catalog/default/dwbb259ca6/productimages/singlepackshot/",LEFT(A431,FIND("-",A431&amp;"-")-1),"_RGB.png"))),"https://us.pandora.net/on/demandware.static/-/Sites-pandora-master-catalog/default/dwbb259ca6/productimages/singlepackshot/163886C00_RGB.png")</f>
        <v>https://us.pandora.net/on/demandware.static/-/Sites-pandora-master-catalog/default/dwbb259ca6/productimages/singlepackshot/163886C00_RGB.png</v>
      </c>
    </row>
    <row r="432" spans="1:4" x14ac:dyDescent="0.25">
      <c r="A432" s="3" t="s">
        <v>434</v>
      </c>
      <c r="B432" s="4">
        <v>59</v>
      </c>
      <c r="C432" s="3" t="str">
        <f ca="1">IFERROR(ROWSDUMMYFUNCTION(IF(A432="","",IFERROR(IMAGE(CONCATENATE("https://us.pandora.net/on/demandware.static/-/Sites-pandora-master-catalog/default/dwbb259ca6/productimages/singlepackshot/",LEFT(A432,FIND("-",A432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2" s="5" t="str">
        <f ca="1">IFERROR(ROWSDUMMYFUNCTION(IF(A432="","",CONCATENATE("https://us.pandora.net/on/demandware.static/-/Sites-pandora-master-catalog/default/dwbb259ca6/productimages/singlepackshot/",LEFT(A432,FIND("-",A432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3" spans="1:4" x14ac:dyDescent="0.25">
      <c r="A433" s="3" t="s">
        <v>435</v>
      </c>
      <c r="B433" s="4">
        <v>59</v>
      </c>
      <c r="C433" s="3" t="str">
        <f ca="1">IFERROR(ROWSDUMMYFUNCTION(IF(A433="","",IFERROR(IMAGE(CONCATENATE("https://us.pandora.net/on/demandware.static/-/Sites-pandora-master-catalog/default/dwbb259ca6/productimages/singlepackshot/",LEFT(A433,FIND("-",A433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3" s="5" t="str">
        <f ca="1">IFERROR(ROWSDUMMYFUNCTION(IF(A433="","",CONCATENATE("https://us.pandora.net/on/demandware.static/-/Sites-pandora-master-catalog/default/dwbb259ca6/productimages/singlepackshot/",LEFT(A433,FIND("-",A433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4" spans="1:4" x14ac:dyDescent="0.25">
      <c r="A434" s="3" t="s">
        <v>436</v>
      </c>
      <c r="B434" s="4">
        <v>59</v>
      </c>
      <c r="C434" s="3" t="str">
        <f ca="1">IFERROR(ROWSDUMMYFUNCTION(IF(A434="","",IFERROR(IMAGE(CONCATENATE("https://us.pandora.net/on/demandware.static/-/Sites-pandora-master-catalog/default/dwbb259ca6/productimages/singlepackshot/",LEFT(A434,FIND("-",A434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4" s="5" t="str">
        <f ca="1">IFERROR(ROWSDUMMYFUNCTION(IF(A434="","",CONCATENATE("https://us.pandora.net/on/demandware.static/-/Sites-pandora-master-catalog/default/dwbb259ca6/productimages/singlepackshot/",LEFT(A434,FIND("-",A434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5" spans="1:4" x14ac:dyDescent="0.25">
      <c r="A435" s="3" t="s">
        <v>437</v>
      </c>
      <c r="B435" s="4">
        <v>59</v>
      </c>
      <c r="C435" s="3" t="str">
        <f ca="1">IFERROR(ROWSDUMMYFUNCTION(IF(A435="","",IFERROR(IMAGE(CONCATENATE("https://us.pandora.net/on/demandware.static/-/Sites-pandora-master-catalog/default/dwbb259ca6/productimages/singlepackshot/",LEFT(A435,FIND("-",A435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5" s="5" t="str">
        <f ca="1">IFERROR(ROWSDUMMYFUNCTION(IF(A435="","",CONCATENATE("https://us.pandora.net/on/demandware.static/-/Sites-pandora-master-catalog/default/dwbb259ca6/productimages/singlepackshot/",LEFT(A435,FIND("-",A435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6" spans="1:4" x14ac:dyDescent="0.25">
      <c r="A436" s="3" t="s">
        <v>438</v>
      </c>
      <c r="B436" s="4">
        <v>59</v>
      </c>
      <c r="C436" s="3" t="str">
        <f ca="1">IFERROR(ROWSDUMMYFUNCTION(IF(A436="","",IFERROR(IMAGE(CONCATENATE("https://us.pandora.net/on/demandware.static/-/Sites-pandora-master-catalog/default/dwbb259ca6/productimages/singlepackshot/",LEFT(A436,FIND("-",A436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6" s="5" t="str">
        <f ca="1">IFERROR(ROWSDUMMYFUNCTION(IF(A436="","",CONCATENATE("https://us.pandora.net/on/demandware.static/-/Sites-pandora-master-catalog/default/dwbb259ca6/productimages/singlepackshot/",LEFT(A436,FIND("-",A436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7" spans="1:4" x14ac:dyDescent="0.25">
      <c r="A437" s="3" t="s">
        <v>439</v>
      </c>
      <c r="B437" s="4">
        <v>59</v>
      </c>
      <c r="C437" s="3" t="str">
        <f ca="1">IFERROR(ROWSDUMMYFUNCTION(IF(A437="","",IFERROR(IMAGE(CONCATENATE("https://us.pandora.net/on/demandware.static/-/Sites-pandora-master-catalog/default/dwbb259ca6/productimages/singlepackshot/",LEFT(A437,FIND("-",A437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7" s="5" t="str">
        <f ca="1">IFERROR(ROWSDUMMYFUNCTION(IF(A437="","",CONCATENATE("https://us.pandora.net/on/demandware.static/-/Sites-pandora-master-catalog/default/dwbb259ca6/productimages/singlepackshot/",LEFT(A437,FIND("-",A437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8" spans="1:4" x14ac:dyDescent="0.25">
      <c r="A438" s="3" t="s">
        <v>440</v>
      </c>
      <c r="B438" s="4">
        <v>59</v>
      </c>
      <c r="C438" s="3" t="str">
        <f ca="1">IFERROR(ROWSDUMMYFUNCTION(IF(A438="","",IFERROR(IMAGE(CONCATENATE("https://us.pandora.net/on/demandware.static/-/Sites-pandora-master-catalog/default/dwbb259ca6/productimages/singlepackshot/",LEFT(A438,FIND("-",A438&amp;"-")-1),"_RGB.png")),""))),"{""url"":""https://us.pandora.net/on/demandware.static/-/Sites-pandora-master-catalog/default/dwbb259ca6/productimages/singlepackshot/163888C00_RGB.png"",""mode"":1}")</f>
        <v>{"url":"https://us.pandora.net/on/demandware.static/-/Sites-pandora-master-catalog/default/dwbb259ca6/productimages/singlepackshot/163888C00_RGB.png","mode":1}</v>
      </c>
      <c r="D438" s="5" t="str">
        <f ca="1">IFERROR(ROWSDUMMYFUNCTION(IF(A438="","",CONCATENATE("https://us.pandora.net/on/demandware.static/-/Sites-pandora-master-catalog/default/dwbb259ca6/productimages/singlepackshot/",LEFT(A438,FIND("-",A438&amp;"-")-1),"_RGB.png"))),"https://us.pandora.net/on/demandware.static/-/Sites-pandora-master-catalog/default/dwbb259ca6/productimages/singlepackshot/163888C00_RGB.png")</f>
        <v>https://us.pandora.net/on/demandware.static/-/Sites-pandora-master-catalog/default/dwbb259ca6/productimages/singlepackshot/163888C00_RGB.png</v>
      </c>
    </row>
    <row r="439" spans="1:4" x14ac:dyDescent="0.25">
      <c r="A439" s="3" t="s">
        <v>441</v>
      </c>
      <c r="B439" s="4">
        <v>99</v>
      </c>
      <c r="C439" s="3" t="str">
        <f ca="1">IFERROR(ROWSDUMMYFUNCTION(IF(A439="","",IFERROR(IMAGE(CONCATENATE("https://us.pandora.net/on/demandware.static/-/Sites-pandora-master-catalog/default/dwbb259ca6/productimages/singlepackshot/",LEFT(A439,FIND("-",A439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39" s="5" t="str">
        <f ca="1">IFERROR(ROWSDUMMYFUNCTION(IF(A439="","",CONCATENATE("https://us.pandora.net/on/demandware.static/-/Sites-pandora-master-catalog/default/dwbb259ca6/productimages/singlepackshot/",LEFT(A439,FIND("-",A439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0" spans="1:4" x14ac:dyDescent="0.25">
      <c r="A440" s="3" t="s">
        <v>442</v>
      </c>
      <c r="B440" s="4">
        <v>99</v>
      </c>
      <c r="C440" s="3" t="str">
        <f ca="1">IFERROR(ROWSDUMMYFUNCTION(IF(A440="","",IFERROR(IMAGE(CONCATENATE("https://us.pandora.net/on/demandware.static/-/Sites-pandora-master-catalog/default/dwbb259ca6/productimages/singlepackshot/",LEFT(A440,FIND("-",A440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40" s="5" t="str">
        <f ca="1">IFERROR(ROWSDUMMYFUNCTION(IF(A440="","",CONCATENATE("https://us.pandora.net/on/demandware.static/-/Sites-pandora-master-catalog/default/dwbb259ca6/productimages/singlepackshot/",LEFT(A440,FIND("-",A440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1" spans="1:4" x14ac:dyDescent="0.25">
      <c r="A441" s="3" t="s">
        <v>443</v>
      </c>
      <c r="B441" s="4">
        <v>99</v>
      </c>
      <c r="C441" s="3" t="str">
        <f ca="1">IFERROR(ROWSDUMMYFUNCTION(IF(A441="","",IFERROR(IMAGE(CONCATENATE("https://us.pandora.net/on/demandware.static/-/Sites-pandora-master-catalog/default/dwbb259ca6/productimages/singlepackshot/",LEFT(A441,FIND("-",A441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41" s="5" t="str">
        <f ca="1">IFERROR(ROWSDUMMYFUNCTION(IF(A441="","",CONCATENATE("https://us.pandora.net/on/demandware.static/-/Sites-pandora-master-catalog/default/dwbb259ca6/productimages/singlepackshot/",LEFT(A441,FIND("-",A441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2" spans="1:4" x14ac:dyDescent="0.25">
      <c r="A442" s="3" t="s">
        <v>444</v>
      </c>
      <c r="B442" s="4">
        <v>99</v>
      </c>
      <c r="C442" s="3" t="str">
        <f ca="1">IFERROR(ROWSDUMMYFUNCTION(IF(A442="","",IFERROR(IMAGE(CONCATENATE("https://us.pandora.net/on/demandware.static/-/Sites-pandora-master-catalog/default/dwbb259ca6/productimages/singlepackshot/",LEFT(A442,FIND("-",A442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42" s="5" t="str">
        <f ca="1">IFERROR(ROWSDUMMYFUNCTION(IF(A442="","",CONCATENATE("https://us.pandora.net/on/demandware.static/-/Sites-pandora-master-catalog/default/dwbb259ca6/productimages/singlepackshot/",LEFT(A442,FIND("-",A442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3" spans="1:4" x14ac:dyDescent="0.25">
      <c r="A443" s="3" t="s">
        <v>445</v>
      </c>
      <c r="B443" s="4">
        <v>99</v>
      </c>
      <c r="C443" s="3" t="str">
        <f ca="1">IFERROR(ROWSDUMMYFUNCTION(IF(A443="","",IFERROR(IMAGE(CONCATENATE("https://us.pandora.net/on/demandware.static/-/Sites-pandora-master-catalog/default/dwbb259ca6/productimages/singlepackshot/",LEFT(A443,FIND("-",A443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43" s="5" t="str">
        <f ca="1">IFERROR(ROWSDUMMYFUNCTION(IF(A443="","",CONCATENATE("https://us.pandora.net/on/demandware.static/-/Sites-pandora-master-catalog/default/dwbb259ca6/productimages/singlepackshot/",LEFT(A443,FIND("-",A443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4" spans="1:4" x14ac:dyDescent="0.25">
      <c r="A444" s="3" t="s">
        <v>446</v>
      </c>
      <c r="B444" s="4">
        <v>99</v>
      </c>
      <c r="C444" s="3" t="str">
        <f ca="1">IFERROR(ROWSDUMMYFUNCTION(IF(A444="","",IFERROR(IMAGE(CONCATENATE("https://us.pandora.net/on/demandware.static/-/Sites-pandora-master-catalog/default/dwbb259ca6/productimages/singlepackshot/",LEFT(A444,FIND("-",A444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44" s="5" t="str">
        <f ca="1">IFERROR(ROWSDUMMYFUNCTION(IF(A444="","",CONCATENATE("https://us.pandora.net/on/demandware.static/-/Sites-pandora-master-catalog/default/dwbb259ca6/productimages/singlepackshot/",LEFT(A444,FIND("-",A444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5" spans="1:4" x14ac:dyDescent="0.25">
      <c r="A445" s="3" t="s">
        <v>447</v>
      </c>
      <c r="B445" s="4">
        <v>99</v>
      </c>
      <c r="C445" s="3" t="str">
        <f ca="1">IFERROR(ROWSDUMMYFUNCTION(IF(A445="","",IFERROR(IMAGE(CONCATENATE("https://us.pandora.net/on/demandware.static/-/Sites-pandora-master-catalog/default/dwbb259ca6/productimages/singlepackshot/",LEFT(A445,FIND("-",A445&amp;"-")-1),"_RGB.png")),""))),"{""url"":""https://us.pandora.net/on/demandware.static/-/Sites-pandora-master-catalog/default/dwbb259ca6/productimages/singlepackshot/163889C00_RGB.png"",""mode"":1}")</f>
        <v>{"url":"https://us.pandora.net/on/demandware.static/-/Sites-pandora-master-catalog/default/dwbb259ca6/productimages/singlepackshot/163889C00_RGB.png","mode":1}</v>
      </c>
      <c r="D445" s="5" t="str">
        <f ca="1">IFERROR(ROWSDUMMYFUNCTION(IF(A445="","",CONCATENATE("https://us.pandora.net/on/demandware.static/-/Sites-pandora-master-catalog/default/dwbb259ca6/productimages/singlepackshot/",LEFT(A445,FIND("-",A445&amp;"-")-1),"_RGB.png"))),"https://us.pandora.net/on/demandware.static/-/Sites-pandora-master-catalog/default/dwbb259ca6/productimages/singlepackshot/163889C00_RGB.png")</f>
        <v>https://us.pandora.net/on/demandware.static/-/Sites-pandora-master-catalog/default/dwbb259ca6/productimages/singlepackshot/163889C00_RGB.png</v>
      </c>
    </row>
    <row r="446" spans="1:4" x14ac:dyDescent="0.25">
      <c r="A446" s="3" t="s">
        <v>448</v>
      </c>
      <c r="B446" s="4">
        <v>89</v>
      </c>
      <c r="C446" s="3" t="str">
        <f ca="1">IFERROR(ROWSDUMMYFUNCTION(IF(A446="","",IFERROR(IMAGE(CONCATENATE("https://us.pandora.net/on/demandware.static/-/Sites-pandora-master-catalog/default/dwbb259ca6/productimages/singlepackshot/",LEFT(A446,FIND("-",A446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46" s="5" t="str">
        <f ca="1">IFERROR(ROWSDUMMYFUNCTION(IF(A446="","",CONCATENATE("https://us.pandora.net/on/demandware.static/-/Sites-pandora-master-catalog/default/dwbb259ca6/productimages/singlepackshot/",LEFT(A446,FIND("-",A446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47" spans="1:4" x14ac:dyDescent="0.25">
      <c r="A447" s="3" t="s">
        <v>449</v>
      </c>
      <c r="B447" s="4">
        <v>89</v>
      </c>
      <c r="C447" s="3" t="str">
        <f ca="1">IFERROR(ROWSDUMMYFUNCTION(IF(A447="","",IFERROR(IMAGE(CONCATENATE("https://us.pandora.net/on/demandware.static/-/Sites-pandora-master-catalog/default/dwbb259ca6/productimages/singlepackshot/",LEFT(A447,FIND("-",A447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47" s="5" t="str">
        <f ca="1">IFERROR(ROWSDUMMYFUNCTION(IF(A447="","",CONCATENATE("https://us.pandora.net/on/demandware.static/-/Sites-pandora-master-catalog/default/dwbb259ca6/productimages/singlepackshot/",LEFT(A447,FIND("-",A447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48" spans="1:4" x14ac:dyDescent="0.25">
      <c r="A448" s="3" t="s">
        <v>450</v>
      </c>
      <c r="B448" s="4">
        <v>89</v>
      </c>
      <c r="C448" s="3" t="str">
        <f ca="1">IFERROR(ROWSDUMMYFUNCTION(IF(A448="","",IFERROR(IMAGE(CONCATENATE("https://us.pandora.net/on/demandware.static/-/Sites-pandora-master-catalog/default/dwbb259ca6/productimages/singlepackshot/",LEFT(A448,FIND("-",A448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48" s="5" t="str">
        <f ca="1">IFERROR(ROWSDUMMYFUNCTION(IF(A448="","",CONCATENATE("https://us.pandora.net/on/demandware.static/-/Sites-pandora-master-catalog/default/dwbb259ca6/productimages/singlepackshot/",LEFT(A448,FIND("-",A448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49" spans="1:4" x14ac:dyDescent="0.25">
      <c r="A449" s="3" t="s">
        <v>451</v>
      </c>
      <c r="B449" s="4">
        <v>89</v>
      </c>
      <c r="C449" s="3" t="str">
        <f ca="1">IFERROR(ROWSDUMMYFUNCTION(IF(A449="","",IFERROR(IMAGE(CONCATENATE("https://us.pandora.net/on/demandware.static/-/Sites-pandora-master-catalog/default/dwbb259ca6/productimages/singlepackshot/",LEFT(A449,FIND("-",A449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49" s="5" t="str">
        <f ca="1">IFERROR(ROWSDUMMYFUNCTION(IF(A449="","",CONCATENATE("https://us.pandora.net/on/demandware.static/-/Sites-pandora-master-catalog/default/dwbb259ca6/productimages/singlepackshot/",LEFT(A449,FIND("-",A449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50" spans="1:4" x14ac:dyDescent="0.25">
      <c r="A450" s="3" t="s">
        <v>452</v>
      </c>
      <c r="B450" s="4">
        <v>89</v>
      </c>
      <c r="C450" s="3" t="str">
        <f ca="1">IFERROR(ROWSDUMMYFUNCTION(IF(A450="","",IFERROR(IMAGE(CONCATENATE("https://us.pandora.net/on/demandware.static/-/Sites-pandora-master-catalog/default/dwbb259ca6/productimages/singlepackshot/",LEFT(A450,FIND("-",A450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50" s="5" t="str">
        <f ca="1">IFERROR(ROWSDUMMYFUNCTION(IF(A450="","",CONCATENATE("https://us.pandora.net/on/demandware.static/-/Sites-pandora-master-catalog/default/dwbb259ca6/productimages/singlepackshot/",LEFT(A450,FIND("-",A450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51" spans="1:4" x14ac:dyDescent="0.25">
      <c r="A451" s="3" t="s">
        <v>453</v>
      </c>
      <c r="B451" s="4">
        <v>89</v>
      </c>
      <c r="C451" s="3" t="str">
        <f ca="1">IFERROR(ROWSDUMMYFUNCTION(IF(A451="","",IFERROR(IMAGE(CONCATENATE("https://us.pandora.net/on/demandware.static/-/Sites-pandora-master-catalog/default/dwbb259ca6/productimages/singlepackshot/",LEFT(A451,FIND("-",A451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51" s="5" t="str">
        <f ca="1">IFERROR(ROWSDUMMYFUNCTION(IF(A451="","",CONCATENATE("https://us.pandora.net/on/demandware.static/-/Sites-pandora-master-catalog/default/dwbb259ca6/productimages/singlepackshot/",LEFT(A451,FIND("-",A451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52" spans="1:4" x14ac:dyDescent="0.25">
      <c r="A452" s="3" t="s">
        <v>454</v>
      </c>
      <c r="B452" s="4">
        <v>89</v>
      </c>
      <c r="C452" s="3" t="str">
        <f ca="1">IFERROR(ROWSDUMMYFUNCTION(IF(A452="","",IFERROR(IMAGE(CONCATENATE("https://us.pandora.net/on/demandware.static/-/Sites-pandora-master-catalog/default/dwbb259ca6/productimages/singlepackshot/",LEFT(A452,FIND("-",A452&amp;"-")-1),"_RGB.png")),""))),"{""url"":""https://us.pandora.net/on/demandware.static/-/Sites-pandora-master-catalog/default/dwbb259ca6/productimages/singlepackshot/163984C01_RGB.png"",""mode"":1}")</f>
        <v>{"url":"https://us.pandora.net/on/demandware.static/-/Sites-pandora-master-catalog/default/dwbb259ca6/productimages/singlepackshot/163984C01_RGB.png","mode":1}</v>
      </c>
      <c r="D452" s="5" t="str">
        <f ca="1">IFERROR(ROWSDUMMYFUNCTION(IF(A452="","",CONCATENATE("https://us.pandora.net/on/demandware.static/-/Sites-pandora-master-catalog/default/dwbb259ca6/productimages/singlepackshot/",LEFT(A452,FIND("-",A452&amp;"-")-1),"_RGB.png"))),"https://us.pandora.net/on/demandware.static/-/Sites-pandora-master-catalog/default/dwbb259ca6/productimages/singlepackshot/163984C01_RGB.png")</f>
        <v>https://us.pandora.net/on/demandware.static/-/Sites-pandora-master-catalog/default/dwbb259ca6/productimages/singlepackshot/163984C01_RGB.png</v>
      </c>
    </row>
    <row r="453" spans="1:4" x14ac:dyDescent="0.25">
      <c r="A453" s="3" t="s">
        <v>455</v>
      </c>
      <c r="B453" s="4">
        <v>59</v>
      </c>
      <c r="C453" s="3" t="str">
        <f ca="1">IFERROR(ROWSDUMMYFUNCTION(IF(A453="","",IFERROR(IMAGE(CONCATENATE("https://us.pandora.net/on/demandware.static/-/Sites-pandora-master-catalog/default/dwbb259ca6/productimages/singlepackshot/",LEFT(A453,FIND("-",A453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3" s="5" t="str">
        <f ca="1">IFERROR(ROWSDUMMYFUNCTION(IF(A453="","",CONCATENATE("https://us.pandora.net/on/demandware.static/-/Sites-pandora-master-catalog/default/dwbb259ca6/productimages/singlepackshot/",LEFT(A453,FIND("-",A453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54" spans="1:4" x14ac:dyDescent="0.25">
      <c r="A454" s="3" t="s">
        <v>456</v>
      </c>
      <c r="B454" s="4">
        <v>59</v>
      </c>
      <c r="C454" s="3" t="str">
        <f ca="1">IFERROR(ROWSDUMMYFUNCTION(IF(A454="","",IFERROR(IMAGE(CONCATENATE("https://us.pandora.net/on/demandware.static/-/Sites-pandora-master-catalog/default/dwbb259ca6/productimages/singlepackshot/",LEFT(A454,FIND("-",A454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4" s="5" t="str">
        <f ca="1">IFERROR(ROWSDUMMYFUNCTION(IF(A454="","",CONCATENATE("https://us.pandora.net/on/demandware.static/-/Sites-pandora-master-catalog/default/dwbb259ca6/productimages/singlepackshot/",LEFT(A454,FIND("-",A454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55" spans="1:4" x14ac:dyDescent="0.25">
      <c r="A455" s="3" t="s">
        <v>457</v>
      </c>
      <c r="B455" s="4">
        <v>59</v>
      </c>
      <c r="C455" s="3" t="str">
        <f ca="1">IFERROR(ROWSDUMMYFUNCTION(IF(A455="","",IFERROR(IMAGE(CONCATENATE("https://us.pandora.net/on/demandware.static/-/Sites-pandora-master-catalog/default/dwbb259ca6/productimages/singlepackshot/",LEFT(A455,FIND("-",A455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5" s="5" t="str">
        <f ca="1">IFERROR(ROWSDUMMYFUNCTION(IF(A455="","",CONCATENATE("https://us.pandora.net/on/demandware.static/-/Sites-pandora-master-catalog/default/dwbb259ca6/productimages/singlepackshot/",LEFT(A455,FIND("-",A455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56" spans="1:4" x14ac:dyDescent="0.25">
      <c r="A456" s="3" t="s">
        <v>458</v>
      </c>
      <c r="B456" s="4">
        <v>59</v>
      </c>
      <c r="C456" s="3" t="str">
        <f ca="1">IFERROR(ROWSDUMMYFUNCTION(IF(A456="","",IFERROR(IMAGE(CONCATENATE("https://us.pandora.net/on/demandware.static/-/Sites-pandora-master-catalog/default/dwbb259ca6/productimages/singlepackshot/",LEFT(A456,FIND("-",A456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6" s="5" t="str">
        <f ca="1">IFERROR(ROWSDUMMYFUNCTION(IF(A456="","",CONCATENATE("https://us.pandora.net/on/demandware.static/-/Sites-pandora-master-catalog/default/dwbb259ca6/productimages/singlepackshot/",LEFT(A456,FIND("-",A456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57" spans="1:4" x14ac:dyDescent="0.25">
      <c r="A457" s="3" t="s">
        <v>459</v>
      </c>
      <c r="B457" s="4">
        <v>59</v>
      </c>
      <c r="C457" s="3" t="str">
        <f ca="1">IFERROR(ROWSDUMMYFUNCTION(IF(A457="","",IFERROR(IMAGE(CONCATENATE("https://us.pandora.net/on/demandware.static/-/Sites-pandora-master-catalog/default/dwbb259ca6/productimages/singlepackshot/",LEFT(A457,FIND("-",A457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7" s="5" t="str">
        <f ca="1">IFERROR(ROWSDUMMYFUNCTION(IF(A457="","",CONCATENATE("https://us.pandora.net/on/demandware.static/-/Sites-pandora-master-catalog/default/dwbb259ca6/productimages/singlepackshot/",LEFT(A457,FIND("-",A457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58" spans="1:4" x14ac:dyDescent="0.25">
      <c r="A458" s="3" t="s">
        <v>460</v>
      </c>
      <c r="B458" s="4">
        <v>59</v>
      </c>
      <c r="C458" s="3" t="str">
        <f ca="1">IFERROR(ROWSDUMMYFUNCTION(IF(A458="","",IFERROR(IMAGE(CONCATENATE("https://us.pandora.net/on/demandware.static/-/Sites-pandora-master-catalog/default/dwbb259ca6/productimages/singlepackshot/",LEFT(A458,FIND("-",A458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8" s="5" t="str">
        <f ca="1">IFERROR(ROWSDUMMYFUNCTION(IF(A458="","",CONCATENATE("https://us.pandora.net/on/demandware.static/-/Sites-pandora-master-catalog/default/dwbb259ca6/productimages/singlepackshot/",LEFT(A458,FIND("-",A458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59" spans="1:4" x14ac:dyDescent="0.25">
      <c r="A459" s="3" t="s">
        <v>461</v>
      </c>
      <c r="B459" s="4">
        <v>59</v>
      </c>
      <c r="C459" s="3" t="str">
        <f ca="1">IFERROR(ROWSDUMMYFUNCTION(IF(A459="","",IFERROR(IMAGE(CONCATENATE("https://us.pandora.net/on/demandware.static/-/Sites-pandora-master-catalog/default/dwbb259ca6/productimages/singlepackshot/",LEFT(A459,FIND("-",A459&amp;"-")-1),"_RGB.png")),""))),"{""url"":""https://us.pandora.net/on/demandware.static/-/Sites-pandora-master-catalog/default/dwbb259ca6/productimages/singlepackshot/163986C00_RGB.png"",""mode"":1}")</f>
        <v>{"url":"https://us.pandora.net/on/demandware.static/-/Sites-pandora-master-catalog/default/dwbb259ca6/productimages/singlepackshot/163986C00_RGB.png","mode":1}</v>
      </c>
      <c r="D459" s="5" t="str">
        <f ca="1">IFERROR(ROWSDUMMYFUNCTION(IF(A459="","",CONCATENATE("https://us.pandora.net/on/demandware.static/-/Sites-pandora-master-catalog/default/dwbb259ca6/productimages/singlepackshot/",LEFT(A459,FIND("-",A459&amp;"-")-1),"_RGB.png"))),"https://us.pandora.net/on/demandware.static/-/Sites-pandora-master-catalog/default/dwbb259ca6/productimages/singlepackshot/163986C00_RGB.png")</f>
        <v>https://us.pandora.net/on/demandware.static/-/Sites-pandora-master-catalog/default/dwbb259ca6/productimages/singlepackshot/163986C00_RGB.png</v>
      </c>
    </row>
    <row r="460" spans="1:4" x14ac:dyDescent="0.25">
      <c r="A460" s="3" t="s">
        <v>462</v>
      </c>
      <c r="B460" s="4">
        <v>79</v>
      </c>
      <c r="C460" s="3" t="str">
        <f ca="1">IFERROR(ROWSDUMMYFUNCTION(IF(A460="","",IFERROR(IMAGE(CONCATENATE("https://us.pandora.net/on/demandware.static/-/Sites-pandora-master-catalog/default/dwbb259ca6/productimages/singlepackshot/",LEFT(A460,FIND("-",A460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0" s="5" t="str">
        <f ca="1">IFERROR(ROWSDUMMYFUNCTION(IF(A460="","",CONCATENATE("https://us.pandora.net/on/demandware.static/-/Sites-pandora-master-catalog/default/dwbb259ca6/productimages/singlepackshot/",LEFT(A460,FIND("-",A460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1" spans="1:4" x14ac:dyDescent="0.25">
      <c r="A461" s="3" t="s">
        <v>463</v>
      </c>
      <c r="B461" s="4">
        <v>79</v>
      </c>
      <c r="C461" s="3" t="str">
        <f ca="1">IFERROR(ROWSDUMMYFUNCTION(IF(A461="","",IFERROR(IMAGE(CONCATENATE("https://us.pandora.net/on/demandware.static/-/Sites-pandora-master-catalog/default/dwbb259ca6/productimages/singlepackshot/",LEFT(A461,FIND("-",A461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1" s="5" t="str">
        <f ca="1">IFERROR(ROWSDUMMYFUNCTION(IF(A461="","",CONCATENATE("https://us.pandora.net/on/demandware.static/-/Sites-pandora-master-catalog/default/dwbb259ca6/productimages/singlepackshot/",LEFT(A461,FIND("-",A461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2" spans="1:4" x14ac:dyDescent="0.25">
      <c r="A462" s="3" t="s">
        <v>464</v>
      </c>
      <c r="B462" s="4">
        <v>79</v>
      </c>
      <c r="C462" s="3" t="str">
        <f ca="1">IFERROR(ROWSDUMMYFUNCTION(IF(A462="","",IFERROR(IMAGE(CONCATENATE("https://us.pandora.net/on/demandware.static/-/Sites-pandora-master-catalog/default/dwbb259ca6/productimages/singlepackshot/",LEFT(A462,FIND("-",A462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2" s="5" t="str">
        <f ca="1">IFERROR(ROWSDUMMYFUNCTION(IF(A462="","",CONCATENATE("https://us.pandora.net/on/demandware.static/-/Sites-pandora-master-catalog/default/dwbb259ca6/productimages/singlepackshot/",LEFT(A462,FIND("-",A462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3" spans="1:4" x14ac:dyDescent="0.25">
      <c r="A463" s="3" t="s">
        <v>465</v>
      </c>
      <c r="B463" s="4">
        <v>79</v>
      </c>
      <c r="C463" s="3" t="str">
        <f ca="1">IFERROR(ROWSDUMMYFUNCTION(IF(A463="","",IFERROR(IMAGE(CONCATENATE("https://us.pandora.net/on/demandware.static/-/Sites-pandora-master-catalog/default/dwbb259ca6/productimages/singlepackshot/",LEFT(A463,FIND("-",A463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3" s="5" t="str">
        <f ca="1">IFERROR(ROWSDUMMYFUNCTION(IF(A463="","",CONCATENATE("https://us.pandora.net/on/demandware.static/-/Sites-pandora-master-catalog/default/dwbb259ca6/productimages/singlepackshot/",LEFT(A463,FIND("-",A463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4" spans="1:4" x14ac:dyDescent="0.25">
      <c r="A464" s="3" t="s">
        <v>466</v>
      </c>
      <c r="B464" s="4">
        <v>79</v>
      </c>
      <c r="C464" s="3" t="str">
        <f ca="1">IFERROR(ROWSDUMMYFUNCTION(IF(A464="","",IFERROR(IMAGE(CONCATENATE("https://us.pandora.net/on/demandware.static/-/Sites-pandora-master-catalog/default/dwbb259ca6/productimages/singlepackshot/",LEFT(A464,FIND("-",A464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4" s="5" t="str">
        <f ca="1">IFERROR(ROWSDUMMYFUNCTION(IF(A464="","",CONCATENATE("https://us.pandora.net/on/demandware.static/-/Sites-pandora-master-catalog/default/dwbb259ca6/productimages/singlepackshot/",LEFT(A464,FIND("-",A464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5" spans="1:4" x14ac:dyDescent="0.25">
      <c r="A465" s="3" t="s">
        <v>467</v>
      </c>
      <c r="B465" s="4">
        <v>79</v>
      </c>
      <c r="C465" s="3" t="str">
        <f ca="1">IFERROR(ROWSDUMMYFUNCTION(IF(A465="","",IFERROR(IMAGE(CONCATENATE("https://us.pandora.net/on/demandware.static/-/Sites-pandora-master-catalog/default/dwbb259ca6/productimages/singlepackshot/",LEFT(A465,FIND("-",A465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5" s="5" t="str">
        <f ca="1">IFERROR(ROWSDUMMYFUNCTION(IF(A465="","",CONCATENATE("https://us.pandora.net/on/demandware.static/-/Sites-pandora-master-catalog/default/dwbb259ca6/productimages/singlepackshot/",LEFT(A465,FIND("-",A465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6" spans="1:4" x14ac:dyDescent="0.25">
      <c r="A466" s="3" t="s">
        <v>468</v>
      </c>
      <c r="B466" s="4">
        <v>79</v>
      </c>
      <c r="C466" s="3" t="str">
        <f ca="1">IFERROR(ROWSDUMMYFUNCTION(IF(A466="","",IFERROR(IMAGE(CONCATENATE("https://us.pandora.net/on/demandware.static/-/Sites-pandora-master-catalog/default/dwbb259ca6/productimages/singlepackshot/",LEFT(A466,FIND("-",A466&amp;"-")-1),"_RGB.png")),""))),"{""url"":""https://us.pandora.net/on/demandware.static/-/Sites-pandora-master-catalog/default/dwbb259ca6/productimages/singlepackshot/163988C00_RGB.png"",""mode"":1}")</f>
        <v>{"url":"https://us.pandora.net/on/demandware.static/-/Sites-pandora-master-catalog/default/dwbb259ca6/productimages/singlepackshot/163988C00_RGB.png","mode":1}</v>
      </c>
      <c r="D466" s="5" t="str">
        <f ca="1">IFERROR(ROWSDUMMYFUNCTION(IF(A466="","",CONCATENATE("https://us.pandora.net/on/demandware.static/-/Sites-pandora-master-catalog/default/dwbb259ca6/productimages/singlepackshot/",LEFT(A466,FIND("-",A466&amp;"-")-1),"_RGB.png"))),"https://us.pandora.net/on/demandware.static/-/Sites-pandora-master-catalog/default/dwbb259ca6/productimages/singlepackshot/163988C00_RGB.png")</f>
        <v>https://us.pandora.net/on/demandware.static/-/Sites-pandora-master-catalog/default/dwbb259ca6/productimages/singlepackshot/163988C00_RGB.png</v>
      </c>
    </row>
    <row r="467" spans="1:4" x14ac:dyDescent="0.25">
      <c r="A467" s="3" t="s">
        <v>469</v>
      </c>
      <c r="B467" s="4">
        <v>89</v>
      </c>
      <c r="C467" s="3" t="str">
        <f ca="1">IFERROR(ROWSDUMMYFUNCTION(IF(A467="","",IFERROR(IMAGE(CONCATENATE("https://us.pandora.net/on/demandware.static/-/Sites-pandora-master-catalog/default/dwbb259ca6/productimages/singlepackshot/",LEFT(A467,FIND("-",A467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67" s="5" t="str">
        <f ca="1">IFERROR(ROWSDUMMYFUNCTION(IF(A467="","",CONCATENATE("https://us.pandora.net/on/demandware.static/-/Sites-pandora-master-catalog/default/dwbb259ca6/productimages/singlepackshot/",LEFT(A467,FIND("-",A467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68" spans="1:4" x14ac:dyDescent="0.25">
      <c r="A468" s="3" t="s">
        <v>470</v>
      </c>
      <c r="B468" s="4">
        <v>89</v>
      </c>
      <c r="C468" s="3" t="str">
        <f ca="1">IFERROR(ROWSDUMMYFUNCTION(IF(A468="","",IFERROR(IMAGE(CONCATENATE("https://us.pandora.net/on/demandware.static/-/Sites-pandora-master-catalog/default/dwbb259ca6/productimages/singlepackshot/",LEFT(A468,FIND("-",A468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68" s="5" t="str">
        <f ca="1">IFERROR(ROWSDUMMYFUNCTION(IF(A468="","",CONCATENATE("https://us.pandora.net/on/demandware.static/-/Sites-pandora-master-catalog/default/dwbb259ca6/productimages/singlepackshot/",LEFT(A468,FIND("-",A468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69" spans="1:4" x14ac:dyDescent="0.25">
      <c r="A469" s="3" t="s">
        <v>471</v>
      </c>
      <c r="B469" s="4">
        <v>89</v>
      </c>
      <c r="C469" s="3" t="str">
        <f ca="1">IFERROR(ROWSDUMMYFUNCTION(IF(A469="","",IFERROR(IMAGE(CONCATENATE("https://us.pandora.net/on/demandware.static/-/Sites-pandora-master-catalog/default/dwbb259ca6/productimages/singlepackshot/",LEFT(A469,FIND("-",A469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69" s="5" t="str">
        <f ca="1">IFERROR(ROWSDUMMYFUNCTION(IF(A469="","",CONCATENATE("https://us.pandora.net/on/demandware.static/-/Sites-pandora-master-catalog/default/dwbb259ca6/productimages/singlepackshot/",LEFT(A469,FIND("-",A469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70" spans="1:4" x14ac:dyDescent="0.25">
      <c r="A470" s="3" t="s">
        <v>472</v>
      </c>
      <c r="B470" s="4">
        <v>89</v>
      </c>
      <c r="C470" s="3" t="str">
        <f ca="1">IFERROR(ROWSDUMMYFUNCTION(IF(A470="","",IFERROR(IMAGE(CONCATENATE("https://us.pandora.net/on/demandware.static/-/Sites-pandora-master-catalog/default/dwbb259ca6/productimages/singlepackshot/",LEFT(A470,FIND("-",A470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70" s="5" t="str">
        <f ca="1">IFERROR(ROWSDUMMYFUNCTION(IF(A470="","",CONCATENATE("https://us.pandora.net/on/demandware.static/-/Sites-pandora-master-catalog/default/dwbb259ca6/productimages/singlepackshot/",LEFT(A470,FIND("-",A470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71" spans="1:4" x14ac:dyDescent="0.25">
      <c r="A471" s="3" t="s">
        <v>473</v>
      </c>
      <c r="B471" s="4">
        <v>89</v>
      </c>
      <c r="C471" s="3" t="str">
        <f ca="1">IFERROR(ROWSDUMMYFUNCTION(IF(A471="","",IFERROR(IMAGE(CONCATENATE("https://us.pandora.net/on/demandware.static/-/Sites-pandora-master-catalog/default/dwbb259ca6/productimages/singlepackshot/",LEFT(A471,FIND("-",A471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71" s="5" t="str">
        <f ca="1">IFERROR(ROWSDUMMYFUNCTION(IF(A471="","",CONCATENATE("https://us.pandora.net/on/demandware.static/-/Sites-pandora-master-catalog/default/dwbb259ca6/productimages/singlepackshot/",LEFT(A471,FIND("-",A471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72" spans="1:4" x14ac:dyDescent="0.25">
      <c r="A472" s="3" t="s">
        <v>474</v>
      </c>
      <c r="B472" s="4">
        <v>89</v>
      </c>
      <c r="C472" s="3" t="str">
        <f ca="1">IFERROR(ROWSDUMMYFUNCTION(IF(A472="","",IFERROR(IMAGE(CONCATENATE("https://us.pandora.net/on/demandware.static/-/Sites-pandora-master-catalog/default/dwbb259ca6/productimages/singlepackshot/",LEFT(A472,FIND("-",A472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72" s="5" t="str">
        <f ca="1">IFERROR(ROWSDUMMYFUNCTION(IF(A472="","",CONCATENATE("https://us.pandora.net/on/demandware.static/-/Sites-pandora-master-catalog/default/dwbb259ca6/productimages/singlepackshot/",LEFT(A472,FIND("-",A472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73" spans="1:4" x14ac:dyDescent="0.25">
      <c r="A473" s="3" t="s">
        <v>475</v>
      </c>
      <c r="B473" s="4">
        <v>89</v>
      </c>
      <c r="C473" s="3" t="str">
        <f ca="1">IFERROR(ROWSDUMMYFUNCTION(IF(A473="","",IFERROR(IMAGE(CONCATENATE("https://us.pandora.net/on/demandware.static/-/Sites-pandora-master-catalog/default/dwbb259ca6/productimages/singlepackshot/",LEFT(A473,FIND("-",A473&amp;"-")-1),"_RGB.png")),""))),"{""url"":""https://us.pandora.net/on/demandware.static/-/Sites-pandora-master-catalog/default/dwbb259ca6/productimages/singlepackshot/164135C01_RGB.png"",""mode"":1}")</f>
        <v>{"url":"https://us.pandora.net/on/demandware.static/-/Sites-pandora-master-catalog/default/dwbb259ca6/productimages/singlepackshot/164135C01_RGB.png","mode":1}</v>
      </c>
      <c r="D473" s="5" t="str">
        <f ca="1">IFERROR(ROWSDUMMYFUNCTION(IF(A473="","",CONCATENATE("https://us.pandora.net/on/demandware.static/-/Sites-pandora-master-catalog/default/dwbb259ca6/productimages/singlepackshot/",LEFT(A473,FIND("-",A473&amp;"-")-1),"_RGB.png"))),"https://us.pandora.net/on/demandware.static/-/Sites-pandora-master-catalog/default/dwbb259ca6/productimages/singlepackshot/164135C01_RGB.png")</f>
        <v>https://us.pandora.net/on/demandware.static/-/Sites-pandora-master-catalog/default/dwbb259ca6/productimages/singlepackshot/164135C01_RGB.png</v>
      </c>
    </row>
    <row r="474" spans="1:4" x14ac:dyDescent="0.25">
      <c r="A474" s="3" t="s">
        <v>476</v>
      </c>
      <c r="B474" s="4">
        <v>79</v>
      </c>
      <c r="C474" s="3" t="str">
        <f ca="1">IFERROR(ROWSDUMMYFUNCTION(IF(A474="","",IFERROR(IMAGE(CONCATENATE("https://us.pandora.net/on/demandware.static/-/Sites-pandora-master-catalog/default/dwbb259ca6/productimages/singlepackshot/",LEFT(A474,FIND("-",A474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74" s="5" t="str">
        <f ca="1">IFERROR(ROWSDUMMYFUNCTION(IF(A474="","",CONCATENATE("https://us.pandora.net/on/demandware.static/-/Sites-pandora-master-catalog/default/dwbb259ca6/productimages/singlepackshot/",LEFT(A474,FIND("-",A474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75" spans="1:4" x14ac:dyDescent="0.25">
      <c r="A475" s="3" t="s">
        <v>477</v>
      </c>
      <c r="B475" s="4">
        <v>79</v>
      </c>
      <c r="C475" s="3" t="str">
        <f ca="1">IFERROR(ROWSDUMMYFUNCTION(IF(A475="","",IFERROR(IMAGE(CONCATENATE("https://us.pandora.net/on/demandware.static/-/Sites-pandora-master-catalog/default/dwbb259ca6/productimages/singlepackshot/",LEFT(A475,FIND("-",A475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75" s="5" t="str">
        <f ca="1">IFERROR(ROWSDUMMYFUNCTION(IF(A475="","",CONCATENATE("https://us.pandora.net/on/demandware.static/-/Sites-pandora-master-catalog/default/dwbb259ca6/productimages/singlepackshot/",LEFT(A475,FIND("-",A475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76" spans="1:4" x14ac:dyDescent="0.25">
      <c r="A476" s="3" t="s">
        <v>478</v>
      </c>
      <c r="B476" s="4">
        <v>79</v>
      </c>
      <c r="C476" s="3" t="str">
        <f ca="1">IFERROR(ROWSDUMMYFUNCTION(IF(A476="","",IFERROR(IMAGE(CONCATENATE("https://us.pandora.net/on/demandware.static/-/Sites-pandora-master-catalog/default/dwbb259ca6/productimages/singlepackshot/",LEFT(A476,FIND("-",A476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76" s="5" t="str">
        <f ca="1">IFERROR(ROWSDUMMYFUNCTION(IF(A476="","",CONCATENATE("https://us.pandora.net/on/demandware.static/-/Sites-pandora-master-catalog/default/dwbb259ca6/productimages/singlepackshot/",LEFT(A476,FIND("-",A476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77" spans="1:4" x14ac:dyDescent="0.25">
      <c r="A477" s="3" t="s">
        <v>479</v>
      </c>
      <c r="B477" s="4">
        <v>79</v>
      </c>
      <c r="C477" s="3" t="str">
        <f ca="1">IFERROR(ROWSDUMMYFUNCTION(IF(A477="","",IFERROR(IMAGE(CONCATENATE("https://us.pandora.net/on/demandware.static/-/Sites-pandora-master-catalog/default/dwbb259ca6/productimages/singlepackshot/",LEFT(A477,FIND("-",A477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77" s="5" t="str">
        <f ca="1">IFERROR(ROWSDUMMYFUNCTION(IF(A477="","",CONCATENATE("https://us.pandora.net/on/demandware.static/-/Sites-pandora-master-catalog/default/dwbb259ca6/productimages/singlepackshot/",LEFT(A477,FIND("-",A477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78" spans="1:4" x14ac:dyDescent="0.25">
      <c r="A478" s="3" t="s">
        <v>480</v>
      </c>
      <c r="B478" s="4">
        <v>79</v>
      </c>
      <c r="C478" s="3" t="str">
        <f ca="1">IFERROR(ROWSDUMMYFUNCTION(IF(A478="","",IFERROR(IMAGE(CONCATENATE("https://us.pandora.net/on/demandware.static/-/Sites-pandora-master-catalog/default/dwbb259ca6/productimages/singlepackshot/",LEFT(A478,FIND("-",A478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78" s="5" t="str">
        <f ca="1">IFERROR(ROWSDUMMYFUNCTION(IF(A478="","",CONCATENATE("https://us.pandora.net/on/demandware.static/-/Sites-pandora-master-catalog/default/dwbb259ca6/productimages/singlepackshot/",LEFT(A478,FIND("-",A478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79" spans="1:4" x14ac:dyDescent="0.25">
      <c r="A479" s="3" t="s">
        <v>481</v>
      </c>
      <c r="B479" s="4">
        <v>79</v>
      </c>
      <c r="C479" s="3" t="str">
        <f ca="1">IFERROR(ROWSDUMMYFUNCTION(IF(A479="","",IFERROR(IMAGE(CONCATENATE("https://us.pandora.net/on/demandware.static/-/Sites-pandora-master-catalog/default/dwbb259ca6/productimages/singlepackshot/",LEFT(A479,FIND("-",A479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79" s="5" t="str">
        <f ca="1">IFERROR(ROWSDUMMYFUNCTION(IF(A479="","",CONCATENATE("https://us.pandora.net/on/demandware.static/-/Sites-pandora-master-catalog/default/dwbb259ca6/productimages/singlepackshot/",LEFT(A479,FIND("-",A479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80" spans="1:4" x14ac:dyDescent="0.25">
      <c r="A480" s="3" t="s">
        <v>482</v>
      </c>
      <c r="B480" s="4">
        <v>79</v>
      </c>
      <c r="C480" s="3" t="str">
        <f ca="1">IFERROR(ROWSDUMMYFUNCTION(IF(A480="","",IFERROR(IMAGE(CONCATENATE("https://us.pandora.net/on/demandware.static/-/Sites-pandora-master-catalog/default/dwbb259ca6/productimages/singlepackshot/",LEFT(A480,FIND("-",A480&amp;"-")-1),"_RGB.png")),""))),"{""url"":""https://us.pandora.net/on/demandware.static/-/Sites-pandora-master-catalog/default/dwbb259ca6/productimages/singlepackshot/164211C01_RGB.png"",""mode"":1}")</f>
        <v>{"url":"https://us.pandora.net/on/demandware.static/-/Sites-pandora-master-catalog/default/dwbb259ca6/productimages/singlepackshot/164211C01_RGB.png","mode":1}</v>
      </c>
      <c r="D480" s="5" t="str">
        <f ca="1">IFERROR(ROWSDUMMYFUNCTION(IF(A480="","",CONCATENATE("https://us.pandora.net/on/demandware.static/-/Sites-pandora-master-catalog/default/dwbb259ca6/productimages/singlepackshot/",LEFT(A480,FIND("-",A480&amp;"-")-1),"_RGB.png"))),"https://us.pandora.net/on/demandware.static/-/Sites-pandora-master-catalog/default/dwbb259ca6/productimages/singlepackshot/164211C01_RGB.png")</f>
        <v>https://us.pandora.net/on/demandware.static/-/Sites-pandora-master-catalog/default/dwbb259ca6/productimages/singlepackshot/164211C01_RGB.png</v>
      </c>
    </row>
    <row r="481" spans="1:4" x14ac:dyDescent="0.25">
      <c r="A481" s="3" t="s">
        <v>483</v>
      </c>
      <c r="B481" s="4">
        <v>89</v>
      </c>
      <c r="C481" s="3" t="str">
        <f ca="1">IFERROR(ROWSDUMMYFUNCTION(IF(A481="","",IFERROR(IMAGE(CONCATENATE("https://us.pandora.net/on/demandware.static/-/Sites-pandora-master-catalog/default/dwbb259ca6/productimages/singlepackshot/",LEFT(A481,FIND("-",A481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1" s="5" t="str">
        <f ca="1">IFERROR(ROWSDUMMYFUNCTION(IF(A481="","",CONCATENATE("https://us.pandora.net/on/demandware.static/-/Sites-pandora-master-catalog/default/dwbb259ca6/productimages/singlepackshot/",LEFT(A481,FIND("-",A481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2" spans="1:4" x14ac:dyDescent="0.25">
      <c r="A482" s="3" t="s">
        <v>484</v>
      </c>
      <c r="B482" s="4">
        <v>89</v>
      </c>
      <c r="C482" s="3" t="str">
        <f ca="1">IFERROR(ROWSDUMMYFUNCTION(IF(A482="","",IFERROR(IMAGE(CONCATENATE("https://us.pandora.net/on/demandware.static/-/Sites-pandora-master-catalog/default/dwbb259ca6/productimages/singlepackshot/",LEFT(A482,FIND("-",A482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2" s="5" t="str">
        <f ca="1">IFERROR(ROWSDUMMYFUNCTION(IF(A482="","",CONCATENATE("https://us.pandora.net/on/demandware.static/-/Sites-pandora-master-catalog/default/dwbb259ca6/productimages/singlepackshot/",LEFT(A482,FIND("-",A482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3" spans="1:4" x14ac:dyDescent="0.25">
      <c r="A483" s="3" t="s">
        <v>485</v>
      </c>
      <c r="B483" s="4">
        <v>89</v>
      </c>
      <c r="C483" s="3" t="str">
        <f ca="1">IFERROR(ROWSDUMMYFUNCTION(IF(A483="","",IFERROR(IMAGE(CONCATENATE("https://us.pandora.net/on/demandware.static/-/Sites-pandora-master-catalog/default/dwbb259ca6/productimages/singlepackshot/",LEFT(A483,FIND("-",A483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3" s="5" t="str">
        <f ca="1">IFERROR(ROWSDUMMYFUNCTION(IF(A483="","",CONCATENATE("https://us.pandora.net/on/demandware.static/-/Sites-pandora-master-catalog/default/dwbb259ca6/productimages/singlepackshot/",LEFT(A483,FIND("-",A483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4" spans="1:4" x14ac:dyDescent="0.25">
      <c r="A484" s="3" t="s">
        <v>486</v>
      </c>
      <c r="B484" s="4">
        <v>89</v>
      </c>
      <c r="C484" s="3" t="str">
        <f ca="1">IFERROR(ROWSDUMMYFUNCTION(IF(A484="","",IFERROR(IMAGE(CONCATENATE("https://us.pandora.net/on/demandware.static/-/Sites-pandora-master-catalog/default/dwbb259ca6/productimages/singlepackshot/",LEFT(A484,FIND("-",A484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4" s="5" t="str">
        <f ca="1">IFERROR(ROWSDUMMYFUNCTION(IF(A484="","",CONCATENATE("https://us.pandora.net/on/demandware.static/-/Sites-pandora-master-catalog/default/dwbb259ca6/productimages/singlepackshot/",LEFT(A484,FIND("-",A484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5" spans="1:4" x14ac:dyDescent="0.25">
      <c r="A485" s="3" t="s">
        <v>487</v>
      </c>
      <c r="B485" s="4">
        <v>89</v>
      </c>
      <c r="C485" s="3" t="str">
        <f ca="1">IFERROR(ROWSDUMMYFUNCTION(IF(A485="","",IFERROR(IMAGE(CONCATENATE("https://us.pandora.net/on/demandware.static/-/Sites-pandora-master-catalog/default/dwbb259ca6/productimages/singlepackshot/",LEFT(A485,FIND("-",A485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5" s="5" t="str">
        <f ca="1">IFERROR(ROWSDUMMYFUNCTION(IF(A485="","",CONCATENATE("https://us.pandora.net/on/demandware.static/-/Sites-pandora-master-catalog/default/dwbb259ca6/productimages/singlepackshot/",LEFT(A485,FIND("-",A485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6" spans="1:4" x14ac:dyDescent="0.25">
      <c r="A486" s="3" t="s">
        <v>488</v>
      </c>
      <c r="B486" s="4">
        <v>89</v>
      </c>
      <c r="C486" s="3" t="str">
        <f ca="1">IFERROR(ROWSDUMMYFUNCTION(IF(A486="","",IFERROR(IMAGE(CONCATENATE("https://us.pandora.net/on/demandware.static/-/Sites-pandora-master-catalog/default/dwbb259ca6/productimages/singlepackshot/",LEFT(A486,FIND("-",A486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6" s="5" t="str">
        <f ca="1">IFERROR(ROWSDUMMYFUNCTION(IF(A486="","",CONCATENATE("https://us.pandora.net/on/demandware.static/-/Sites-pandora-master-catalog/default/dwbb259ca6/productimages/singlepackshot/",LEFT(A486,FIND("-",A486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7" spans="1:4" x14ac:dyDescent="0.25">
      <c r="A487" s="3" t="s">
        <v>489</v>
      </c>
      <c r="B487" s="4">
        <v>89</v>
      </c>
      <c r="C487" s="3" t="str">
        <f ca="1">IFERROR(ROWSDUMMYFUNCTION(IF(A487="","",IFERROR(IMAGE(CONCATENATE("https://us.pandora.net/on/demandware.static/-/Sites-pandora-master-catalog/default/dwbb259ca6/productimages/singlepackshot/",LEFT(A487,FIND("-",A487&amp;"-")-1),"_RGB.png")),""))),"{""url"":""https://us.pandora.net/on/demandware.static/-/Sites-pandora-master-catalog/default/dwbb259ca6/productimages/singlepackshot/164222C00_RGB.png"",""mode"":1}")</f>
        <v>{"url":"https://us.pandora.net/on/demandware.static/-/Sites-pandora-master-catalog/default/dwbb259ca6/productimages/singlepackshot/164222C00_RGB.png","mode":1}</v>
      </c>
      <c r="D487" s="5" t="str">
        <f ca="1">IFERROR(ROWSDUMMYFUNCTION(IF(A487="","",CONCATENATE("https://us.pandora.net/on/demandware.static/-/Sites-pandora-master-catalog/default/dwbb259ca6/productimages/singlepackshot/",LEFT(A487,FIND("-",A487&amp;"-")-1),"_RGB.png"))),"https://us.pandora.net/on/demandware.static/-/Sites-pandora-master-catalog/default/dwbb259ca6/productimages/singlepackshot/164222C00_RGB.png")</f>
        <v>https://us.pandora.net/on/demandware.static/-/Sites-pandora-master-catalog/default/dwbb259ca6/productimages/singlepackshot/164222C00_RGB.png</v>
      </c>
    </row>
    <row r="488" spans="1:4" x14ac:dyDescent="0.25">
      <c r="A488" s="3" t="s">
        <v>490</v>
      </c>
      <c r="B488" s="4">
        <v>119</v>
      </c>
      <c r="C488" s="3" t="str">
        <f ca="1">IFERROR(ROWSDUMMYFUNCTION(IF(A488="","",IFERROR(IMAGE(CONCATENATE("https://us.pandora.net/on/demandware.static/-/Sites-pandora-master-catalog/default/dwbb259ca6/productimages/singlepackshot/",LEFT(A488,FIND("-",A488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88" s="5" t="str">
        <f ca="1">IFERROR(ROWSDUMMYFUNCTION(IF(A488="","",CONCATENATE("https://us.pandora.net/on/demandware.static/-/Sites-pandora-master-catalog/default/dwbb259ca6/productimages/singlepackshot/",LEFT(A488,FIND("-",A488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89" spans="1:4" x14ac:dyDescent="0.25">
      <c r="A489" s="3" t="s">
        <v>491</v>
      </c>
      <c r="B489" s="4">
        <v>119</v>
      </c>
      <c r="C489" s="3" t="str">
        <f ca="1">IFERROR(ROWSDUMMYFUNCTION(IF(A489="","",IFERROR(IMAGE(CONCATENATE("https://us.pandora.net/on/demandware.static/-/Sites-pandora-master-catalog/default/dwbb259ca6/productimages/singlepackshot/",LEFT(A489,FIND("-",A489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89" s="5" t="str">
        <f ca="1">IFERROR(ROWSDUMMYFUNCTION(IF(A489="","",CONCATENATE("https://us.pandora.net/on/demandware.static/-/Sites-pandora-master-catalog/default/dwbb259ca6/productimages/singlepackshot/",LEFT(A489,FIND("-",A489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90" spans="1:4" x14ac:dyDescent="0.25">
      <c r="A490" s="3" t="s">
        <v>492</v>
      </c>
      <c r="B490" s="4">
        <v>119</v>
      </c>
      <c r="C490" s="3" t="str">
        <f ca="1">IFERROR(ROWSDUMMYFUNCTION(IF(A490="","",IFERROR(IMAGE(CONCATENATE("https://us.pandora.net/on/demandware.static/-/Sites-pandora-master-catalog/default/dwbb259ca6/productimages/singlepackshot/",LEFT(A490,FIND("-",A490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90" s="5" t="str">
        <f ca="1">IFERROR(ROWSDUMMYFUNCTION(IF(A490="","",CONCATENATE("https://us.pandora.net/on/demandware.static/-/Sites-pandora-master-catalog/default/dwbb259ca6/productimages/singlepackshot/",LEFT(A490,FIND("-",A490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91" spans="1:4" x14ac:dyDescent="0.25">
      <c r="A491" s="3" t="s">
        <v>493</v>
      </c>
      <c r="B491" s="4">
        <v>119</v>
      </c>
      <c r="C491" s="3" t="str">
        <f ca="1">IFERROR(ROWSDUMMYFUNCTION(IF(A491="","",IFERROR(IMAGE(CONCATENATE("https://us.pandora.net/on/demandware.static/-/Sites-pandora-master-catalog/default/dwbb259ca6/productimages/singlepackshot/",LEFT(A491,FIND("-",A491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91" s="5" t="str">
        <f ca="1">IFERROR(ROWSDUMMYFUNCTION(IF(A491="","",CONCATENATE("https://us.pandora.net/on/demandware.static/-/Sites-pandora-master-catalog/default/dwbb259ca6/productimages/singlepackshot/",LEFT(A491,FIND("-",A491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92" spans="1:4" x14ac:dyDescent="0.25">
      <c r="A492" s="3" t="s">
        <v>494</v>
      </c>
      <c r="B492" s="4">
        <v>119</v>
      </c>
      <c r="C492" s="3" t="str">
        <f ca="1">IFERROR(ROWSDUMMYFUNCTION(IF(A492="","",IFERROR(IMAGE(CONCATENATE("https://us.pandora.net/on/demandware.static/-/Sites-pandora-master-catalog/default/dwbb259ca6/productimages/singlepackshot/",LEFT(A492,FIND("-",A492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92" s="5" t="str">
        <f ca="1">IFERROR(ROWSDUMMYFUNCTION(IF(A492="","",CONCATENATE("https://us.pandora.net/on/demandware.static/-/Sites-pandora-master-catalog/default/dwbb259ca6/productimages/singlepackshot/",LEFT(A492,FIND("-",A492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93" spans="1:4" x14ac:dyDescent="0.25">
      <c r="A493" s="3" t="s">
        <v>495</v>
      </c>
      <c r="B493" s="4">
        <v>119</v>
      </c>
      <c r="C493" s="3" t="str">
        <f ca="1">IFERROR(ROWSDUMMYFUNCTION(IF(A493="","",IFERROR(IMAGE(CONCATENATE("https://us.pandora.net/on/demandware.static/-/Sites-pandora-master-catalog/default/dwbb259ca6/productimages/singlepackshot/",LEFT(A493,FIND("-",A493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93" s="5" t="str">
        <f ca="1">IFERROR(ROWSDUMMYFUNCTION(IF(A493="","",CONCATENATE("https://us.pandora.net/on/demandware.static/-/Sites-pandora-master-catalog/default/dwbb259ca6/productimages/singlepackshot/",LEFT(A493,FIND("-",A493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94" spans="1:4" x14ac:dyDescent="0.25">
      <c r="A494" s="3" t="s">
        <v>496</v>
      </c>
      <c r="B494" s="4">
        <v>119</v>
      </c>
      <c r="C494" s="3" t="str">
        <f ca="1">IFERROR(ROWSDUMMYFUNCTION(IF(A494="","",IFERROR(IMAGE(CONCATENATE("https://us.pandora.net/on/demandware.static/-/Sites-pandora-master-catalog/default/dwbb259ca6/productimages/singlepackshot/",LEFT(A494,FIND("-",A494&amp;"-")-1),"_RGB.png")),""))),"{""url"":""https://us.pandora.net/on/demandware.static/-/Sites-pandora-master-catalog/default/dwbb259ca6/productimages/singlepackshot/164270C01_RGB.png"",""mode"":1}")</f>
        <v>{"url":"https://us.pandora.net/on/demandware.static/-/Sites-pandora-master-catalog/default/dwbb259ca6/productimages/singlepackshot/164270C01_RGB.png","mode":1}</v>
      </c>
      <c r="D494" s="5" t="str">
        <f ca="1">IFERROR(ROWSDUMMYFUNCTION(IF(A494="","",CONCATENATE("https://us.pandora.net/on/demandware.static/-/Sites-pandora-master-catalog/default/dwbb259ca6/productimages/singlepackshot/",LEFT(A494,FIND("-",A494&amp;"-")-1),"_RGB.png"))),"https://us.pandora.net/on/demandware.static/-/Sites-pandora-master-catalog/default/dwbb259ca6/productimages/singlepackshot/164270C01_RGB.png")</f>
        <v>https://us.pandora.net/on/demandware.static/-/Sites-pandora-master-catalog/default/dwbb259ca6/productimages/singlepackshot/164270C01_RGB.png</v>
      </c>
    </row>
    <row r="495" spans="1:4" x14ac:dyDescent="0.25">
      <c r="A495" s="3" t="s">
        <v>497</v>
      </c>
      <c r="B495" s="4">
        <v>69</v>
      </c>
      <c r="C495" s="3" t="str">
        <f ca="1">IFERROR(ROWSDUMMYFUNCTION(IF(A495="","",IFERROR(IMAGE(CONCATENATE("https://us.pandora.net/on/demandware.static/-/Sites-pandora-master-catalog/default/dwbb259ca6/productimages/singlepackshot/",LEFT(A495,FIND("-",A495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495" s="5" t="str">
        <f ca="1">IFERROR(ROWSDUMMYFUNCTION(IF(A495="","",CONCATENATE("https://us.pandora.net/on/demandware.static/-/Sites-pandora-master-catalog/default/dwbb259ca6/productimages/singlepackshot/",LEFT(A495,FIND("-",A495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496" spans="1:4" x14ac:dyDescent="0.25">
      <c r="A496" s="3" t="s">
        <v>498</v>
      </c>
      <c r="B496" s="4">
        <v>69</v>
      </c>
      <c r="C496" s="3" t="str">
        <f ca="1">IFERROR(ROWSDUMMYFUNCTION(IF(A496="","",IFERROR(IMAGE(CONCATENATE("https://us.pandora.net/on/demandware.static/-/Sites-pandora-master-catalog/default/dwbb259ca6/productimages/singlepackshot/",LEFT(A496,FIND("-",A496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496" s="5" t="str">
        <f ca="1">IFERROR(ROWSDUMMYFUNCTION(IF(A496="","",CONCATENATE("https://us.pandora.net/on/demandware.static/-/Sites-pandora-master-catalog/default/dwbb259ca6/productimages/singlepackshot/",LEFT(A496,FIND("-",A496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497" spans="1:4" x14ac:dyDescent="0.25">
      <c r="A497" s="3" t="s">
        <v>499</v>
      </c>
      <c r="B497" s="4">
        <v>69</v>
      </c>
      <c r="C497" s="3" t="str">
        <f ca="1">IFERROR(ROWSDUMMYFUNCTION(IF(A497="","",IFERROR(IMAGE(CONCATENATE("https://us.pandora.net/on/demandware.static/-/Sites-pandora-master-catalog/default/dwbb259ca6/productimages/singlepackshot/",LEFT(A497,FIND("-",A497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497" s="5" t="str">
        <f ca="1">IFERROR(ROWSDUMMYFUNCTION(IF(A497="","",CONCATENATE("https://us.pandora.net/on/demandware.static/-/Sites-pandora-master-catalog/default/dwbb259ca6/productimages/singlepackshot/",LEFT(A497,FIND("-",A497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498" spans="1:4" x14ac:dyDescent="0.25">
      <c r="A498" s="3" t="s">
        <v>500</v>
      </c>
      <c r="B498" s="4">
        <v>69</v>
      </c>
      <c r="C498" s="3" t="str">
        <f ca="1">IFERROR(ROWSDUMMYFUNCTION(IF(A498="","",IFERROR(IMAGE(CONCATENATE("https://us.pandora.net/on/demandware.static/-/Sites-pandora-master-catalog/default/dwbb259ca6/productimages/singlepackshot/",LEFT(A498,FIND("-",A498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498" s="5" t="str">
        <f ca="1">IFERROR(ROWSDUMMYFUNCTION(IF(A498="","",CONCATENATE("https://us.pandora.net/on/demandware.static/-/Sites-pandora-master-catalog/default/dwbb259ca6/productimages/singlepackshot/",LEFT(A498,FIND("-",A498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499" spans="1:4" x14ac:dyDescent="0.25">
      <c r="A499" s="3" t="s">
        <v>501</v>
      </c>
      <c r="B499" s="4">
        <v>69</v>
      </c>
      <c r="C499" s="3" t="str">
        <f ca="1">IFERROR(ROWSDUMMYFUNCTION(IF(A499="","",IFERROR(IMAGE(CONCATENATE("https://us.pandora.net/on/demandware.static/-/Sites-pandora-master-catalog/default/dwbb259ca6/productimages/singlepackshot/",LEFT(A499,FIND("-",A499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499" s="5" t="str">
        <f ca="1">IFERROR(ROWSDUMMYFUNCTION(IF(A499="","",CONCATENATE("https://us.pandora.net/on/demandware.static/-/Sites-pandora-master-catalog/default/dwbb259ca6/productimages/singlepackshot/",LEFT(A499,FIND("-",A499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500" spans="1:4" x14ac:dyDescent="0.25">
      <c r="A500" s="3" t="s">
        <v>502</v>
      </c>
      <c r="B500" s="4">
        <v>69</v>
      </c>
      <c r="C500" s="3" t="str">
        <f ca="1">IFERROR(ROWSDUMMYFUNCTION(IF(A500="","",IFERROR(IMAGE(CONCATENATE("https://us.pandora.net/on/demandware.static/-/Sites-pandora-master-catalog/default/dwbb259ca6/productimages/singlepackshot/",LEFT(A500,FIND("-",A500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500" s="5" t="str">
        <f ca="1">IFERROR(ROWSDUMMYFUNCTION(IF(A500="","",CONCATENATE("https://us.pandora.net/on/demandware.static/-/Sites-pandora-master-catalog/default/dwbb259ca6/productimages/singlepackshot/",LEFT(A500,FIND("-",A500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501" spans="1:4" x14ac:dyDescent="0.25">
      <c r="A501" s="3" t="s">
        <v>503</v>
      </c>
      <c r="B501" s="4">
        <v>69</v>
      </c>
      <c r="C501" s="3" t="str">
        <f ca="1">IFERROR(ROWSDUMMYFUNCTION(IF(A501="","",IFERROR(IMAGE(CONCATENATE("https://us.pandora.net/on/demandware.static/-/Sites-pandora-master-catalog/default/dwbb259ca6/productimages/singlepackshot/",LEFT(A501,FIND("-",A501&amp;"-")-1),"_RGB.png")),""))),"{""url"":""https://us.pandora.net/on/demandware.static/-/Sites-pandora-master-catalog/default/dwbb259ca6/productimages/singlepackshot/166574C01_RGB.png"",""mode"":1}")</f>
        <v>{"url":"https://us.pandora.net/on/demandware.static/-/Sites-pandora-master-catalog/default/dwbb259ca6/productimages/singlepackshot/166574C01_RGB.png","mode":1}</v>
      </c>
      <c r="D501" s="5" t="str">
        <f ca="1">IFERROR(ROWSDUMMYFUNCTION(IF(A501="","",CONCATENATE("https://us.pandora.net/on/demandware.static/-/Sites-pandora-master-catalog/default/dwbb259ca6/productimages/singlepackshot/",LEFT(A501,FIND("-",A501&amp;"-")-1),"_RGB.png"))),"https://us.pandora.net/on/demandware.static/-/Sites-pandora-master-catalog/default/dwbb259ca6/productimages/singlepackshot/166574C01_RGB.png")</f>
        <v>https://us.pandora.net/on/demandware.static/-/Sites-pandora-master-catalog/default/dwbb259ca6/productimages/singlepackshot/166574C01_RGB.png</v>
      </c>
    </row>
    <row r="502" spans="1:4" x14ac:dyDescent="0.25">
      <c r="A502" s="3" t="s">
        <v>504</v>
      </c>
      <c r="B502" s="4">
        <v>99</v>
      </c>
      <c r="C502" s="3" t="str">
        <f ca="1">IFERROR(ROWSDUMMYFUNCTION(IF(A502="","",IFERROR(IMAGE(CONCATENATE("https://us.pandora.net/on/demandware.static/-/Sites-pandora-master-catalog/default/dwbb259ca6/productimages/singlepackshot/",LEFT(A502,FIND("-",A502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2" s="5" t="str">
        <f ca="1">IFERROR(ROWSDUMMYFUNCTION(IF(A502="","",CONCATENATE("https://us.pandora.net/on/demandware.static/-/Sites-pandora-master-catalog/default/dwbb259ca6/productimages/singlepackshot/",LEFT(A502,FIND("-",A502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3" spans="1:4" x14ac:dyDescent="0.25">
      <c r="A503" s="3" t="s">
        <v>505</v>
      </c>
      <c r="B503" s="4">
        <v>99</v>
      </c>
      <c r="C503" s="3" t="str">
        <f ca="1">IFERROR(ROWSDUMMYFUNCTION(IF(A503="","",IFERROR(IMAGE(CONCATENATE("https://us.pandora.net/on/demandware.static/-/Sites-pandora-master-catalog/default/dwbb259ca6/productimages/singlepackshot/",LEFT(A503,FIND("-",A503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3" s="5" t="str">
        <f ca="1">IFERROR(ROWSDUMMYFUNCTION(IF(A503="","",CONCATENATE("https://us.pandora.net/on/demandware.static/-/Sites-pandora-master-catalog/default/dwbb259ca6/productimages/singlepackshot/",LEFT(A503,FIND("-",A503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4" spans="1:4" x14ac:dyDescent="0.25">
      <c r="A504" s="3" t="s">
        <v>506</v>
      </c>
      <c r="B504" s="4">
        <v>99</v>
      </c>
      <c r="C504" s="3" t="str">
        <f ca="1">IFERROR(ROWSDUMMYFUNCTION(IF(A504="","",IFERROR(IMAGE(CONCATENATE("https://us.pandora.net/on/demandware.static/-/Sites-pandora-master-catalog/default/dwbb259ca6/productimages/singlepackshot/",LEFT(A504,FIND("-",A504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4" s="5" t="str">
        <f ca="1">IFERROR(ROWSDUMMYFUNCTION(IF(A504="","",CONCATENATE("https://us.pandora.net/on/demandware.static/-/Sites-pandora-master-catalog/default/dwbb259ca6/productimages/singlepackshot/",LEFT(A504,FIND("-",A504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5" spans="1:4" x14ac:dyDescent="0.25">
      <c r="A505" s="3" t="s">
        <v>507</v>
      </c>
      <c r="B505" s="4">
        <v>99</v>
      </c>
      <c r="C505" s="3" t="str">
        <f ca="1">IFERROR(ROWSDUMMYFUNCTION(IF(A505="","",IFERROR(IMAGE(CONCATENATE("https://us.pandora.net/on/demandware.static/-/Sites-pandora-master-catalog/default/dwbb259ca6/productimages/singlepackshot/",LEFT(A505,FIND("-",A505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5" s="5" t="str">
        <f ca="1">IFERROR(ROWSDUMMYFUNCTION(IF(A505="","",CONCATENATE("https://us.pandora.net/on/demandware.static/-/Sites-pandora-master-catalog/default/dwbb259ca6/productimages/singlepackshot/",LEFT(A505,FIND("-",A505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6" spans="1:4" x14ac:dyDescent="0.25">
      <c r="A506" s="3" t="s">
        <v>508</v>
      </c>
      <c r="B506" s="4">
        <v>99</v>
      </c>
      <c r="C506" s="3" t="str">
        <f ca="1">IFERROR(ROWSDUMMYFUNCTION(IF(A506="","",IFERROR(IMAGE(CONCATENATE("https://us.pandora.net/on/demandware.static/-/Sites-pandora-master-catalog/default/dwbb259ca6/productimages/singlepackshot/",LEFT(A506,FIND("-",A506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6" s="5" t="str">
        <f ca="1">IFERROR(ROWSDUMMYFUNCTION(IF(A506="","",CONCATENATE("https://us.pandora.net/on/demandware.static/-/Sites-pandora-master-catalog/default/dwbb259ca6/productimages/singlepackshot/",LEFT(A506,FIND("-",A506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7" spans="1:4" x14ac:dyDescent="0.25">
      <c r="A507" s="3" t="s">
        <v>509</v>
      </c>
      <c r="B507" s="4">
        <v>99</v>
      </c>
      <c r="C507" s="3" t="str">
        <f ca="1">IFERROR(ROWSDUMMYFUNCTION(IF(A507="","",IFERROR(IMAGE(CONCATENATE("https://us.pandora.net/on/demandware.static/-/Sites-pandora-master-catalog/default/dwbb259ca6/productimages/singlepackshot/",LEFT(A507,FIND("-",A507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7" s="5" t="str">
        <f ca="1">IFERROR(ROWSDUMMYFUNCTION(IF(A507="","",CONCATENATE("https://us.pandora.net/on/demandware.static/-/Sites-pandora-master-catalog/default/dwbb259ca6/productimages/singlepackshot/",LEFT(A507,FIND("-",A507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8" spans="1:4" x14ac:dyDescent="0.25">
      <c r="A508" s="3" t="s">
        <v>510</v>
      </c>
      <c r="B508" s="4">
        <v>99</v>
      </c>
      <c r="C508" s="3" t="str">
        <f ca="1">IFERROR(ROWSDUMMYFUNCTION(IF(A508="","",IFERROR(IMAGE(CONCATENATE("https://us.pandora.net/on/demandware.static/-/Sites-pandora-master-catalog/default/dwbb259ca6/productimages/singlepackshot/",LEFT(A508,FIND("-",A508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8" s="5" t="str">
        <f ca="1">IFERROR(ROWSDUMMYFUNCTION(IF(A508="","",CONCATENATE("https://us.pandora.net/on/demandware.static/-/Sites-pandora-master-catalog/default/dwbb259ca6/productimages/singlepackshot/",LEFT(A508,FIND("-",A508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09" spans="1:4" x14ac:dyDescent="0.25">
      <c r="A509" s="3" t="s">
        <v>511</v>
      </c>
      <c r="B509" s="4">
        <v>99</v>
      </c>
      <c r="C509" s="3" t="str">
        <f ca="1">IFERROR(ROWSDUMMYFUNCTION(IF(A509="","",IFERROR(IMAGE(CONCATENATE("https://us.pandora.net/on/demandware.static/-/Sites-pandora-master-catalog/default/dwbb259ca6/productimages/singlepackshot/",LEFT(A509,FIND("-",A509&amp;"-")-1),"_RGB.png")),""))),"{""url"":""https://us.pandora.net/on/demandware.static/-/Sites-pandora-master-catalog/default/dwbb259ca6/productimages/singlepackshot/167736C01_RGB.png"",""mode"":1}")</f>
        <v>{"url":"https://us.pandora.net/on/demandware.static/-/Sites-pandora-master-catalog/default/dwbb259ca6/productimages/singlepackshot/167736C01_RGB.png","mode":1}</v>
      </c>
      <c r="D509" s="5" t="str">
        <f ca="1">IFERROR(ROWSDUMMYFUNCTION(IF(A509="","",CONCATENATE("https://us.pandora.net/on/demandware.static/-/Sites-pandora-master-catalog/default/dwbb259ca6/productimages/singlepackshot/",LEFT(A509,FIND("-",A509&amp;"-")-1),"_RGB.png"))),"https://us.pandora.net/on/demandware.static/-/Sites-pandora-master-catalog/default/dwbb259ca6/productimages/singlepackshot/167736C01_RGB.png")</f>
        <v>https://us.pandora.net/on/demandware.static/-/Sites-pandora-master-catalog/default/dwbb259ca6/productimages/singlepackshot/167736C01_RGB.png</v>
      </c>
    </row>
    <row r="510" spans="1:4" x14ac:dyDescent="0.25">
      <c r="A510" s="3" t="s">
        <v>512</v>
      </c>
      <c r="B510" s="4">
        <v>99</v>
      </c>
      <c r="C510" s="3" t="str">
        <f ca="1">IFERROR(ROWSDUMMYFUNCTION(IF(A510="","",IFERROR(IMAGE(CONCATENATE("https://us.pandora.net/on/demandware.static/-/Sites-pandora-master-catalog/default/dwbb259ca6/productimages/singlepackshot/",LEFT(A510,FIND("-",A510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0" s="5" t="str">
        <f ca="1">IFERROR(ROWSDUMMYFUNCTION(IF(A510="","",CONCATENATE("https://us.pandora.net/on/demandware.static/-/Sites-pandora-master-catalog/default/dwbb259ca6/productimages/singlepackshot/",LEFT(A510,FIND("-",A510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1" spans="1:4" x14ac:dyDescent="0.25">
      <c r="A511" s="3" t="s">
        <v>513</v>
      </c>
      <c r="B511" s="4">
        <v>99</v>
      </c>
      <c r="C511" s="3" t="str">
        <f ca="1">IFERROR(ROWSDUMMYFUNCTION(IF(A511="","",IFERROR(IMAGE(CONCATENATE("https://us.pandora.net/on/demandware.static/-/Sites-pandora-master-catalog/default/dwbb259ca6/productimages/singlepackshot/",LEFT(A511,FIND("-",A511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1" s="5" t="str">
        <f ca="1">IFERROR(ROWSDUMMYFUNCTION(IF(A511="","",CONCATENATE("https://us.pandora.net/on/demandware.static/-/Sites-pandora-master-catalog/default/dwbb259ca6/productimages/singlepackshot/",LEFT(A511,FIND("-",A511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2" spans="1:4" x14ac:dyDescent="0.25">
      <c r="A512" s="3" t="s">
        <v>514</v>
      </c>
      <c r="B512" s="4">
        <v>99</v>
      </c>
      <c r="C512" s="3" t="str">
        <f ca="1">IFERROR(ROWSDUMMYFUNCTION(IF(A512="","",IFERROR(IMAGE(CONCATENATE("https://us.pandora.net/on/demandware.static/-/Sites-pandora-master-catalog/default/dwbb259ca6/productimages/singlepackshot/",LEFT(A512,FIND("-",A512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2" s="5" t="str">
        <f ca="1">IFERROR(ROWSDUMMYFUNCTION(IF(A512="","",CONCATENATE("https://us.pandora.net/on/demandware.static/-/Sites-pandora-master-catalog/default/dwbb259ca6/productimages/singlepackshot/",LEFT(A512,FIND("-",A512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3" spans="1:4" x14ac:dyDescent="0.25">
      <c r="A513" s="3" t="s">
        <v>515</v>
      </c>
      <c r="B513" s="4">
        <v>99</v>
      </c>
      <c r="C513" s="3" t="str">
        <f ca="1">IFERROR(ROWSDUMMYFUNCTION(IF(A513="","",IFERROR(IMAGE(CONCATENATE("https://us.pandora.net/on/demandware.static/-/Sites-pandora-master-catalog/default/dwbb259ca6/productimages/singlepackshot/",LEFT(A513,FIND("-",A513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3" s="5" t="str">
        <f ca="1">IFERROR(ROWSDUMMYFUNCTION(IF(A513="","",CONCATENATE("https://us.pandora.net/on/demandware.static/-/Sites-pandora-master-catalog/default/dwbb259ca6/productimages/singlepackshot/",LEFT(A513,FIND("-",A513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4" spans="1:4" x14ac:dyDescent="0.25">
      <c r="A514" s="3" t="s">
        <v>516</v>
      </c>
      <c r="B514" s="4">
        <v>99</v>
      </c>
      <c r="C514" s="3" t="str">
        <f ca="1">IFERROR(ROWSDUMMYFUNCTION(IF(A514="","",IFERROR(IMAGE(CONCATENATE("https://us.pandora.net/on/demandware.static/-/Sites-pandora-master-catalog/default/dwbb259ca6/productimages/singlepackshot/",LEFT(A514,FIND("-",A514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4" s="5" t="str">
        <f ca="1">IFERROR(ROWSDUMMYFUNCTION(IF(A514="","",CONCATENATE("https://us.pandora.net/on/demandware.static/-/Sites-pandora-master-catalog/default/dwbb259ca6/productimages/singlepackshot/",LEFT(A514,FIND("-",A514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5" spans="1:4" x14ac:dyDescent="0.25">
      <c r="A515" s="3" t="s">
        <v>517</v>
      </c>
      <c r="B515" s="4">
        <v>99</v>
      </c>
      <c r="C515" s="3" t="str">
        <f ca="1">IFERROR(ROWSDUMMYFUNCTION(IF(A515="","",IFERROR(IMAGE(CONCATENATE("https://us.pandora.net/on/demandware.static/-/Sites-pandora-master-catalog/default/dwbb259ca6/productimages/singlepackshot/",LEFT(A515,FIND("-",A515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5" s="5" t="str">
        <f ca="1">IFERROR(ROWSDUMMYFUNCTION(IF(A515="","",CONCATENATE("https://us.pandora.net/on/demandware.static/-/Sites-pandora-master-catalog/default/dwbb259ca6/productimages/singlepackshot/",LEFT(A515,FIND("-",A515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6" spans="1:4" x14ac:dyDescent="0.25">
      <c r="A516" s="3" t="s">
        <v>518</v>
      </c>
      <c r="B516" s="4">
        <v>99</v>
      </c>
      <c r="C516" s="3" t="str">
        <f ca="1">IFERROR(ROWSDUMMYFUNCTION(IF(A516="","",IFERROR(IMAGE(CONCATENATE("https://us.pandora.net/on/demandware.static/-/Sites-pandora-master-catalog/default/dwbb259ca6/productimages/singlepackshot/",LEFT(A516,FIND("-",A516&amp;"-")-1),"_RGB.png")),""))),"{""url"":""https://us.pandora.net/on/demandware.static/-/Sites-pandora-master-catalog/default/dwbb259ca6/productimages/singlepackshot/168289C01_RGB.png"",""mode"":1}")</f>
        <v>{"url":"https://us.pandora.net/on/demandware.static/-/Sites-pandora-master-catalog/default/dwbb259ca6/productimages/singlepackshot/168289C01_RGB.png","mode":1}</v>
      </c>
      <c r="D516" s="5" t="str">
        <f ca="1">IFERROR(ROWSDUMMYFUNCTION(IF(A516="","",CONCATENATE("https://us.pandora.net/on/demandware.static/-/Sites-pandora-master-catalog/default/dwbb259ca6/productimages/singlepackshot/",LEFT(A516,FIND("-",A516&amp;"-")-1),"_RGB.png"))),"https://us.pandora.net/on/demandware.static/-/Sites-pandora-master-catalog/default/dwbb259ca6/productimages/singlepackshot/168289C01_RGB.png")</f>
        <v>https://us.pandora.net/on/demandware.static/-/Sites-pandora-master-catalog/default/dwbb259ca6/productimages/singlepackshot/168289C01_RGB.png</v>
      </c>
    </row>
    <row r="517" spans="1:4" x14ac:dyDescent="0.25">
      <c r="A517" s="3" t="s">
        <v>519</v>
      </c>
      <c r="B517" s="4">
        <v>99</v>
      </c>
      <c r="C517" s="3" t="str">
        <f ca="1">IFERROR(ROWSDUMMYFUNCTION(IF(A517="","",IFERROR(IMAGE(CONCATENATE("https://us.pandora.net/on/demandware.static/-/Sites-pandora-master-catalog/default/dwbb259ca6/productimages/singlepackshot/",LEFT(A517,FIND("-",A517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17" s="5" t="str">
        <f ca="1">IFERROR(ROWSDUMMYFUNCTION(IF(A517="","",CONCATENATE("https://us.pandora.net/on/demandware.static/-/Sites-pandora-master-catalog/default/dwbb259ca6/productimages/singlepackshot/",LEFT(A517,FIND("-",A517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18" spans="1:4" x14ac:dyDescent="0.25">
      <c r="A518" s="3" t="s">
        <v>520</v>
      </c>
      <c r="B518" s="4">
        <v>99</v>
      </c>
      <c r="C518" s="3" t="str">
        <f ca="1">IFERROR(ROWSDUMMYFUNCTION(IF(A518="","",IFERROR(IMAGE(CONCATENATE("https://us.pandora.net/on/demandware.static/-/Sites-pandora-master-catalog/default/dwbb259ca6/productimages/singlepackshot/",LEFT(A518,FIND("-",A518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18" s="5" t="str">
        <f ca="1">IFERROR(ROWSDUMMYFUNCTION(IF(A518="","",CONCATENATE("https://us.pandora.net/on/demandware.static/-/Sites-pandora-master-catalog/default/dwbb259ca6/productimages/singlepackshot/",LEFT(A518,FIND("-",A518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19" spans="1:4" x14ac:dyDescent="0.25">
      <c r="A519" s="3" t="s">
        <v>521</v>
      </c>
      <c r="B519" s="4">
        <v>99</v>
      </c>
      <c r="C519" s="3" t="str">
        <f ca="1">IFERROR(ROWSDUMMYFUNCTION(IF(A519="","",IFERROR(IMAGE(CONCATENATE("https://us.pandora.net/on/demandware.static/-/Sites-pandora-master-catalog/default/dwbb259ca6/productimages/singlepackshot/",LEFT(A519,FIND("-",A519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19" s="5" t="str">
        <f ca="1">IFERROR(ROWSDUMMYFUNCTION(IF(A519="","",CONCATENATE("https://us.pandora.net/on/demandware.static/-/Sites-pandora-master-catalog/default/dwbb259ca6/productimages/singlepackshot/",LEFT(A519,FIND("-",A519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20" spans="1:4" x14ac:dyDescent="0.25">
      <c r="A520" s="3" t="s">
        <v>522</v>
      </c>
      <c r="B520" s="4">
        <v>99</v>
      </c>
      <c r="C520" s="3" t="str">
        <f ca="1">IFERROR(ROWSDUMMYFUNCTION(IF(A520="","",IFERROR(IMAGE(CONCATENATE("https://us.pandora.net/on/demandware.static/-/Sites-pandora-master-catalog/default/dwbb259ca6/productimages/singlepackshot/",LEFT(A520,FIND("-",A520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20" s="5" t="str">
        <f ca="1">IFERROR(ROWSDUMMYFUNCTION(IF(A520="","",CONCATENATE("https://us.pandora.net/on/demandware.static/-/Sites-pandora-master-catalog/default/dwbb259ca6/productimages/singlepackshot/",LEFT(A520,FIND("-",A520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21" spans="1:4" x14ac:dyDescent="0.25">
      <c r="A521" s="3" t="s">
        <v>523</v>
      </c>
      <c r="B521" s="4">
        <v>99</v>
      </c>
      <c r="C521" s="3" t="str">
        <f ca="1">IFERROR(ROWSDUMMYFUNCTION(IF(A521="","",IFERROR(IMAGE(CONCATENATE("https://us.pandora.net/on/demandware.static/-/Sites-pandora-master-catalog/default/dwbb259ca6/productimages/singlepackshot/",LEFT(A521,FIND("-",A521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21" s="5" t="str">
        <f ca="1">IFERROR(ROWSDUMMYFUNCTION(IF(A521="","",CONCATENATE("https://us.pandora.net/on/demandware.static/-/Sites-pandora-master-catalog/default/dwbb259ca6/productimages/singlepackshot/",LEFT(A521,FIND("-",A521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22" spans="1:4" x14ac:dyDescent="0.25">
      <c r="A522" s="3" t="s">
        <v>524</v>
      </c>
      <c r="B522" s="4">
        <v>99</v>
      </c>
      <c r="C522" s="3" t="str">
        <f ca="1">IFERROR(ROWSDUMMYFUNCTION(IF(A522="","",IFERROR(IMAGE(CONCATENATE("https://us.pandora.net/on/demandware.static/-/Sites-pandora-master-catalog/default/dwbb259ca6/productimages/singlepackshot/",LEFT(A522,FIND("-",A522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22" s="5" t="str">
        <f ca="1">IFERROR(ROWSDUMMYFUNCTION(IF(A522="","",CONCATENATE("https://us.pandora.net/on/demandware.static/-/Sites-pandora-master-catalog/default/dwbb259ca6/productimages/singlepackshot/",LEFT(A522,FIND("-",A522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23" spans="1:4" x14ac:dyDescent="0.25">
      <c r="A523" s="3" t="s">
        <v>525</v>
      </c>
      <c r="B523" s="4">
        <v>99</v>
      </c>
      <c r="C523" s="3" t="str">
        <f ca="1">IFERROR(ROWSDUMMYFUNCTION(IF(A523="","",IFERROR(IMAGE(CONCATENATE("https://us.pandora.net/on/demandware.static/-/Sites-pandora-master-catalog/default/dwbb259ca6/productimages/singlepackshot/",LEFT(A523,FIND("-",A523&amp;"-")-1),"_RGB.png")),""))),"{""url"":""https://us.pandora.net/on/demandware.static/-/Sites-pandora-master-catalog/default/dwbb259ca6/productimages/singlepackshot/168289C02_RGB.png"",""mode"":1}")</f>
        <v>{"url":"https://us.pandora.net/on/demandware.static/-/Sites-pandora-master-catalog/default/dwbb259ca6/productimages/singlepackshot/168289C02_RGB.png","mode":1}</v>
      </c>
      <c r="D523" s="5" t="str">
        <f ca="1">IFERROR(ROWSDUMMYFUNCTION(IF(A523="","",CONCATENATE("https://us.pandora.net/on/demandware.static/-/Sites-pandora-master-catalog/default/dwbb259ca6/productimages/singlepackshot/",LEFT(A523,FIND("-",A523&amp;"-")-1),"_RGB.png"))),"https://us.pandora.net/on/demandware.static/-/Sites-pandora-master-catalog/default/dwbb259ca6/productimages/singlepackshot/168289C02_RGB.png")</f>
        <v>https://us.pandora.net/on/demandware.static/-/Sites-pandora-master-catalog/default/dwbb259ca6/productimages/singlepackshot/168289C02_RGB.png</v>
      </c>
    </row>
    <row r="524" spans="1:4" x14ac:dyDescent="0.25">
      <c r="A524" s="3" t="s">
        <v>526</v>
      </c>
      <c r="B524" s="4">
        <v>99</v>
      </c>
      <c r="C524" s="3" t="str">
        <f ca="1">IFERROR(ROWSDUMMYFUNCTION(IF(A524="","",IFERROR(IMAGE(CONCATENATE("https://us.pandora.net/on/demandware.static/-/Sites-pandora-master-catalog/default/dwbb259ca6/productimages/singlepackshot/",LEFT(A524,FIND("-",A524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24" s="5" t="str">
        <f ca="1">IFERROR(ROWSDUMMYFUNCTION(IF(A524="","",CONCATENATE("https://us.pandora.net/on/demandware.static/-/Sites-pandora-master-catalog/default/dwbb259ca6/productimages/singlepackshot/",LEFT(A524,FIND("-",A524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25" spans="1:4" x14ac:dyDescent="0.25">
      <c r="A525" s="3" t="s">
        <v>527</v>
      </c>
      <c r="B525" s="4">
        <v>99</v>
      </c>
      <c r="C525" s="3" t="str">
        <f ca="1">IFERROR(ROWSDUMMYFUNCTION(IF(A525="","",IFERROR(IMAGE(CONCATENATE("https://us.pandora.net/on/demandware.static/-/Sites-pandora-master-catalog/default/dwbb259ca6/productimages/singlepackshot/",LEFT(A525,FIND("-",A525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25" s="5" t="str">
        <f ca="1">IFERROR(ROWSDUMMYFUNCTION(IF(A525="","",CONCATENATE("https://us.pandora.net/on/demandware.static/-/Sites-pandora-master-catalog/default/dwbb259ca6/productimages/singlepackshot/",LEFT(A525,FIND("-",A525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26" spans="1:4" x14ac:dyDescent="0.25">
      <c r="A526" s="3" t="s">
        <v>528</v>
      </c>
      <c r="B526" s="4">
        <v>99</v>
      </c>
      <c r="C526" s="3" t="str">
        <f ca="1">IFERROR(ROWSDUMMYFUNCTION(IF(A526="","",IFERROR(IMAGE(CONCATENATE("https://us.pandora.net/on/demandware.static/-/Sites-pandora-master-catalog/default/dwbb259ca6/productimages/singlepackshot/",LEFT(A526,FIND("-",A526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26" s="5" t="str">
        <f ca="1">IFERROR(ROWSDUMMYFUNCTION(IF(A526="","",CONCATENATE("https://us.pandora.net/on/demandware.static/-/Sites-pandora-master-catalog/default/dwbb259ca6/productimages/singlepackshot/",LEFT(A526,FIND("-",A526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27" spans="1:4" x14ac:dyDescent="0.25">
      <c r="A527" s="3" t="s">
        <v>529</v>
      </c>
      <c r="B527" s="4">
        <v>99</v>
      </c>
      <c r="C527" s="3" t="str">
        <f ca="1">IFERROR(ROWSDUMMYFUNCTION(IF(A527="","",IFERROR(IMAGE(CONCATENATE("https://us.pandora.net/on/demandware.static/-/Sites-pandora-master-catalog/default/dwbb259ca6/productimages/singlepackshot/",LEFT(A527,FIND("-",A527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27" s="5" t="str">
        <f ca="1">IFERROR(ROWSDUMMYFUNCTION(IF(A527="","",CONCATENATE("https://us.pandora.net/on/demandware.static/-/Sites-pandora-master-catalog/default/dwbb259ca6/productimages/singlepackshot/",LEFT(A527,FIND("-",A527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28" spans="1:4" x14ac:dyDescent="0.25">
      <c r="A528" s="3" t="s">
        <v>530</v>
      </c>
      <c r="B528" s="4">
        <v>99</v>
      </c>
      <c r="C528" s="3" t="str">
        <f ca="1">IFERROR(ROWSDUMMYFUNCTION(IF(A528="","",IFERROR(IMAGE(CONCATENATE("https://us.pandora.net/on/demandware.static/-/Sites-pandora-master-catalog/default/dwbb259ca6/productimages/singlepackshot/",LEFT(A528,FIND("-",A528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28" s="5" t="str">
        <f ca="1">IFERROR(ROWSDUMMYFUNCTION(IF(A528="","",CONCATENATE("https://us.pandora.net/on/demandware.static/-/Sites-pandora-master-catalog/default/dwbb259ca6/productimages/singlepackshot/",LEFT(A528,FIND("-",A528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29" spans="1:4" x14ac:dyDescent="0.25">
      <c r="A529" s="3" t="s">
        <v>531</v>
      </c>
      <c r="B529" s="4">
        <v>99</v>
      </c>
      <c r="C529" s="3" t="str">
        <f ca="1">IFERROR(ROWSDUMMYFUNCTION(IF(A529="","",IFERROR(IMAGE(CONCATENATE("https://us.pandora.net/on/demandware.static/-/Sites-pandora-master-catalog/default/dwbb259ca6/productimages/singlepackshot/",LEFT(A529,FIND("-",A529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29" s="5" t="str">
        <f ca="1">IFERROR(ROWSDUMMYFUNCTION(IF(A529="","",CONCATENATE("https://us.pandora.net/on/demandware.static/-/Sites-pandora-master-catalog/default/dwbb259ca6/productimages/singlepackshot/",LEFT(A529,FIND("-",A529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30" spans="1:4" x14ac:dyDescent="0.25">
      <c r="A530" s="3" t="s">
        <v>532</v>
      </c>
      <c r="B530" s="4">
        <v>99</v>
      </c>
      <c r="C530" s="3" t="str">
        <f ca="1">IFERROR(ROWSDUMMYFUNCTION(IF(A530="","",IFERROR(IMAGE(CONCATENATE("https://us.pandora.net/on/demandware.static/-/Sites-pandora-master-catalog/default/dwbb259ca6/productimages/singlepackshot/",LEFT(A530,FIND("-",A530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30" s="5" t="str">
        <f ca="1">IFERROR(ROWSDUMMYFUNCTION(IF(A530="","",CONCATENATE("https://us.pandora.net/on/demandware.static/-/Sites-pandora-master-catalog/default/dwbb259ca6/productimages/singlepackshot/",LEFT(A530,FIND("-",A530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31" spans="1:4" x14ac:dyDescent="0.25">
      <c r="A531" s="3" t="s">
        <v>533</v>
      </c>
      <c r="B531" s="4">
        <v>99</v>
      </c>
      <c r="C531" s="3" t="str">
        <f ca="1">IFERROR(ROWSDUMMYFUNCTION(IF(A531="","",IFERROR(IMAGE(CONCATENATE("https://us.pandora.net/on/demandware.static/-/Sites-pandora-master-catalog/default/dwbb259ca6/productimages/singlepackshot/",LEFT(A531,FIND("-",A531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31" s="5" t="str">
        <f ca="1">IFERROR(ROWSDUMMYFUNCTION(IF(A531="","",CONCATENATE("https://us.pandora.net/on/demandware.static/-/Sites-pandora-master-catalog/default/dwbb259ca6/productimages/singlepackshot/",LEFT(A531,FIND("-",A531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32" spans="1:4" x14ac:dyDescent="0.25">
      <c r="A532" s="3" t="s">
        <v>534</v>
      </c>
      <c r="B532" s="4">
        <v>99</v>
      </c>
      <c r="C532" s="3" t="str">
        <f ca="1">IFERROR(ROWSDUMMYFUNCTION(IF(A532="","",IFERROR(IMAGE(CONCATENATE("https://us.pandora.net/on/demandware.static/-/Sites-pandora-master-catalog/default/dwbb259ca6/productimages/singlepackshot/",LEFT(A532,FIND("-",A532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32" s="5" t="str">
        <f ca="1">IFERROR(ROWSDUMMYFUNCTION(IF(A532="","",CONCATENATE("https://us.pandora.net/on/demandware.static/-/Sites-pandora-master-catalog/default/dwbb259ca6/productimages/singlepackshot/",LEFT(A532,FIND("-",A532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33" spans="1:4" x14ac:dyDescent="0.25">
      <c r="A533" s="3" t="s">
        <v>535</v>
      </c>
      <c r="B533" s="4">
        <v>99</v>
      </c>
      <c r="C533" s="3" t="str">
        <f ca="1">IFERROR(ROWSDUMMYFUNCTION(IF(A533="","",IFERROR(IMAGE(CONCATENATE("https://us.pandora.net/on/demandware.static/-/Sites-pandora-master-catalog/default/dwbb259ca6/productimages/singlepackshot/",LEFT(A533,FIND("-",A533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33" s="5" t="str">
        <f ca="1">IFERROR(ROWSDUMMYFUNCTION(IF(A533="","",CONCATENATE("https://us.pandora.net/on/demandware.static/-/Sites-pandora-master-catalog/default/dwbb259ca6/productimages/singlepackshot/",LEFT(A533,FIND("-",A533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34" spans="1:4" x14ac:dyDescent="0.25">
      <c r="A534" s="3" t="s">
        <v>536</v>
      </c>
      <c r="B534" s="4">
        <v>99</v>
      </c>
      <c r="C534" s="3" t="str">
        <f ca="1">IFERROR(ROWSDUMMYFUNCTION(IF(A534="","",IFERROR(IMAGE(CONCATENATE("https://us.pandora.net/on/demandware.static/-/Sites-pandora-master-catalog/default/dwbb259ca6/productimages/singlepackshot/",LEFT(A534,FIND("-",A534&amp;"-")-1),"_RGB.png")),""))),"{""url"":""https://us.pandora.net/on/demandware.static/-/Sites-pandora-master-catalog/default/dwbb259ca6/productimages/singlepackshot/168421C01_RGB.png"",""mode"":1}")</f>
        <v>{"url":"https://us.pandora.net/on/demandware.static/-/Sites-pandora-master-catalog/default/dwbb259ca6/productimages/singlepackshot/168421C01_RGB.png","mode":1}</v>
      </c>
      <c r="D534" s="5" t="str">
        <f ca="1">IFERROR(ROWSDUMMYFUNCTION(IF(A534="","",CONCATENATE("https://us.pandora.net/on/demandware.static/-/Sites-pandora-master-catalog/default/dwbb259ca6/productimages/singlepackshot/",LEFT(A534,FIND("-",A534&amp;"-")-1),"_RGB.png"))),"https://us.pandora.net/on/demandware.static/-/Sites-pandora-master-catalog/default/dwbb259ca6/productimages/singlepackshot/168421C01_RGB.png")</f>
        <v>https://us.pandora.net/on/demandware.static/-/Sites-pandora-master-catalog/default/dwbb259ca6/productimages/singlepackshot/168421C01_RGB.png</v>
      </c>
    </row>
    <row r="535" spans="1:4" x14ac:dyDescent="0.25">
      <c r="A535" s="3" t="s">
        <v>537</v>
      </c>
      <c r="B535" s="4">
        <v>99</v>
      </c>
      <c r="C535" s="3" t="str">
        <f ca="1">IFERROR(ROWSDUMMYFUNCTION(IF(A535="","",IFERROR(IMAGE(CONCATENATE("https://us.pandora.net/on/demandware.static/-/Sites-pandora-master-catalog/default/dwbb259ca6/productimages/singlepackshot/",LEFT(A535,FIND("-",A535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35" s="5" t="str">
        <f ca="1">IFERROR(ROWSDUMMYFUNCTION(IF(A535="","",CONCATENATE("https://us.pandora.net/on/demandware.static/-/Sites-pandora-master-catalog/default/dwbb259ca6/productimages/singlepackshot/",LEFT(A535,FIND("-",A535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36" spans="1:4" x14ac:dyDescent="0.25">
      <c r="A536" s="3" t="s">
        <v>538</v>
      </c>
      <c r="B536" s="4">
        <v>99</v>
      </c>
      <c r="C536" s="3" t="str">
        <f ca="1">IFERROR(ROWSDUMMYFUNCTION(IF(A536="","",IFERROR(IMAGE(CONCATENATE("https://us.pandora.net/on/demandware.static/-/Sites-pandora-master-catalog/default/dwbb259ca6/productimages/singlepackshot/",LEFT(A536,FIND("-",A536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36" s="5" t="str">
        <f ca="1">IFERROR(ROWSDUMMYFUNCTION(IF(A536="","",CONCATENATE("https://us.pandora.net/on/demandware.static/-/Sites-pandora-master-catalog/default/dwbb259ca6/productimages/singlepackshot/",LEFT(A536,FIND("-",A536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37" spans="1:4" x14ac:dyDescent="0.25">
      <c r="A537" s="3" t="s">
        <v>539</v>
      </c>
      <c r="B537" s="4">
        <v>99</v>
      </c>
      <c r="C537" s="3" t="str">
        <f ca="1">IFERROR(ROWSDUMMYFUNCTION(IF(A537="","",IFERROR(IMAGE(CONCATENATE("https://us.pandora.net/on/demandware.static/-/Sites-pandora-master-catalog/default/dwbb259ca6/productimages/singlepackshot/",LEFT(A537,FIND("-",A537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37" s="5" t="str">
        <f ca="1">IFERROR(ROWSDUMMYFUNCTION(IF(A537="","",CONCATENATE("https://us.pandora.net/on/demandware.static/-/Sites-pandora-master-catalog/default/dwbb259ca6/productimages/singlepackshot/",LEFT(A537,FIND("-",A537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38" spans="1:4" x14ac:dyDescent="0.25">
      <c r="A538" s="3" t="s">
        <v>540</v>
      </c>
      <c r="B538" s="4">
        <v>99</v>
      </c>
      <c r="C538" s="3" t="str">
        <f ca="1">IFERROR(ROWSDUMMYFUNCTION(IF(A538="","",IFERROR(IMAGE(CONCATENATE("https://us.pandora.net/on/demandware.static/-/Sites-pandora-master-catalog/default/dwbb259ca6/productimages/singlepackshot/",LEFT(A538,FIND("-",A538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38" s="5" t="str">
        <f ca="1">IFERROR(ROWSDUMMYFUNCTION(IF(A538="","",CONCATENATE("https://us.pandora.net/on/demandware.static/-/Sites-pandora-master-catalog/default/dwbb259ca6/productimages/singlepackshot/",LEFT(A538,FIND("-",A538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39" spans="1:4" x14ac:dyDescent="0.25">
      <c r="A539" s="3" t="s">
        <v>541</v>
      </c>
      <c r="B539" s="4">
        <v>99</v>
      </c>
      <c r="C539" s="3" t="str">
        <f ca="1">IFERROR(ROWSDUMMYFUNCTION(IF(A539="","",IFERROR(IMAGE(CONCATENATE("https://us.pandora.net/on/demandware.static/-/Sites-pandora-master-catalog/default/dwbb259ca6/productimages/singlepackshot/",LEFT(A539,FIND("-",A539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39" s="5" t="str">
        <f ca="1">IFERROR(ROWSDUMMYFUNCTION(IF(A539="","",CONCATENATE("https://us.pandora.net/on/demandware.static/-/Sites-pandora-master-catalog/default/dwbb259ca6/productimages/singlepackshot/",LEFT(A539,FIND("-",A539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40" spans="1:4" x14ac:dyDescent="0.25">
      <c r="A540" s="3" t="s">
        <v>542</v>
      </c>
      <c r="B540" s="4">
        <v>99</v>
      </c>
      <c r="C540" s="3" t="str">
        <f ca="1">IFERROR(ROWSDUMMYFUNCTION(IF(A540="","",IFERROR(IMAGE(CONCATENATE("https://us.pandora.net/on/demandware.static/-/Sites-pandora-master-catalog/default/dwbb259ca6/productimages/singlepackshot/",LEFT(A540,FIND("-",A540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40" s="5" t="str">
        <f ca="1">IFERROR(ROWSDUMMYFUNCTION(IF(A540="","",CONCATENATE("https://us.pandora.net/on/demandware.static/-/Sites-pandora-master-catalog/default/dwbb259ca6/productimages/singlepackshot/",LEFT(A540,FIND("-",A540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41" spans="1:4" x14ac:dyDescent="0.25">
      <c r="A541" s="3" t="s">
        <v>543</v>
      </c>
      <c r="B541" s="4">
        <v>99</v>
      </c>
      <c r="C541" s="3" t="str">
        <f ca="1">IFERROR(ROWSDUMMYFUNCTION(IF(A541="","",IFERROR(IMAGE(CONCATENATE("https://us.pandora.net/on/demandware.static/-/Sites-pandora-master-catalog/default/dwbb259ca6/productimages/singlepackshot/",LEFT(A541,FIND("-",A541&amp;"-")-1),"_RGB.png")),""))),"{""url"":""https://us.pandora.net/on/demandware.static/-/Sites-pandora-master-catalog/default/dwbb259ca6/productimages/singlepackshot/168421C02_RGB.png"",""mode"":1}")</f>
        <v>{"url":"https://us.pandora.net/on/demandware.static/-/Sites-pandora-master-catalog/default/dwbb259ca6/productimages/singlepackshot/168421C02_RGB.png","mode":1}</v>
      </c>
      <c r="D541" s="5" t="str">
        <f ca="1">IFERROR(ROWSDUMMYFUNCTION(IF(A541="","",CONCATENATE("https://us.pandora.net/on/demandware.static/-/Sites-pandora-master-catalog/default/dwbb259ca6/productimages/singlepackshot/",LEFT(A541,FIND("-",A541&amp;"-")-1),"_RGB.png"))),"https://us.pandora.net/on/demandware.static/-/Sites-pandora-master-catalog/default/dwbb259ca6/productimages/singlepackshot/168421C02_RGB.png")</f>
        <v>https://us.pandora.net/on/demandware.static/-/Sites-pandora-master-catalog/default/dwbb259ca6/productimages/singlepackshot/168421C02_RGB.png</v>
      </c>
    </row>
    <row r="542" spans="1:4" x14ac:dyDescent="0.25">
      <c r="A542" s="3" t="s">
        <v>544</v>
      </c>
      <c r="B542" s="4">
        <v>99</v>
      </c>
      <c r="C542" s="3" t="str">
        <f ca="1">IFERROR(ROWSDUMMYFUNCTION(IF(A542="","",IFERROR(IMAGE(CONCATENATE("https://us.pandora.net/on/demandware.static/-/Sites-pandora-master-catalog/default/dwbb259ca6/productimages/singlepackshot/",LEFT(A542,FIND("-",A542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2" s="5" t="str">
        <f ca="1">IFERROR(ROWSDUMMYFUNCTION(IF(A542="","",CONCATENATE("https://us.pandora.net/on/demandware.static/-/Sites-pandora-master-catalog/default/dwbb259ca6/productimages/singlepackshot/",LEFT(A542,FIND("-",A542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3" spans="1:4" x14ac:dyDescent="0.25">
      <c r="A543" s="3" t="s">
        <v>545</v>
      </c>
      <c r="B543" s="4">
        <v>99</v>
      </c>
      <c r="C543" s="3" t="str">
        <f ca="1">IFERROR(ROWSDUMMYFUNCTION(IF(A543="","",IFERROR(IMAGE(CONCATENATE("https://us.pandora.net/on/demandware.static/-/Sites-pandora-master-catalog/default/dwbb259ca6/productimages/singlepackshot/",LEFT(A543,FIND("-",A543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3" s="5" t="str">
        <f ca="1">IFERROR(ROWSDUMMYFUNCTION(IF(A543="","",CONCATENATE("https://us.pandora.net/on/demandware.static/-/Sites-pandora-master-catalog/default/dwbb259ca6/productimages/singlepackshot/",LEFT(A543,FIND("-",A543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4" spans="1:4" x14ac:dyDescent="0.25">
      <c r="A544" s="3" t="s">
        <v>546</v>
      </c>
      <c r="B544" s="4">
        <v>99</v>
      </c>
      <c r="C544" s="3" t="str">
        <f ca="1">IFERROR(ROWSDUMMYFUNCTION(IF(A544="","",IFERROR(IMAGE(CONCATENATE("https://us.pandora.net/on/demandware.static/-/Sites-pandora-master-catalog/default/dwbb259ca6/productimages/singlepackshot/",LEFT(A544,FIND("-",A544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4" s="5" t="str">
        <f ca="1">IFERROR(ROWSDUMMYFUNCTION(IF(A544="","",CONCATENATE("https://us.pandora.net/on/demandware.static/-/Sites-pandora-master-catalog/default/dwbb259ca6/productimages/singlepackshot/",LEFT(A544,FIND("-",A544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5" spans="1:4" x14ac:dyDescent="0.25">
      <c r="A545" s="3" t="s">
        <v>547</v>
      </c>
      <c r="B545" s="4">
        <v>99</v>
      </c>
      <c r="C545" s="3" t="str">
        <f ca="1">IFERROR(ROWSDUMMYFUNCTION(IF(A545="","",IFERROR(IMAGE(CONCATENATE("https://us.pandora.net/on/demandware.static/-/Sites-pandora-master-catalog/default/dwbb259ca6/productimages/singlepackshot/",LEFT(A545,FIND("-",A545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5" s="5" t="str">
        <f ca="1">IFERROR(ROWSDUMMYFUNCTION(IF(A545="","",CONCATENATE("https://us.pandora.net/on/demandware.static/-/Sites-pandora-master-catalog/default/dwbb259ca6/productimages/singlepackshot/",LEFT(A545,FIND("-",A545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6" spans="1:4" x14ac:dyDescent="0.25">
      <c r="A546" s="3" t="s">
        <v>548</v>
      </c>
      <c r="B546" s="4">
        <v>99</v>
      </c>
      <c r="C546" s="3" t="str">
        <f ca="1">IFERROR(ROWSDUMMYFUNCTION(IF(A546="","",IFERROR(IMAGE(CONCATENATE("https://us.pandora.net/on/demandware.static/-/Sites-pandora-master-catalog/default/dwbb259ca6/productimages/singlepackshot/",LEFT(A546,FIND("-",A546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6" s="5" t="str">
        <f ca="1">IFERROR(ROWSDUMMYFUNCTION(IF(A546="","",CONCATENATE("https://us.pandora.net/on/demandware.static/-/Sites-pandora-master-catalog/default/dwbb259ca6/productimages/singlepackshot/",LEFT(A546,FIND("-",A546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7" spans="1:4" x14ac:dyDescent="0.25">
      <c r="A547" s="3" t="s">
        <v>549</v>
      </c>
      <c r="B547" s="4">
        <v>99</v>
      </c>
      <c r="C547" s="3" t="str">
        <f ca="1">IFERROR(ROWSDUMMYFUNCTION(IF(A547="","",IFERROR(IMAGE(CONCATENATE("https://us.pandora.net/on/demandware.static/-/Sites-pandora-master-catalog/default/dwbb259ca6/productimages/singlepackshot/",LEFT(A547,FIND("-",A547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7" s="5" t="str">
        <f ca="1">IFERROR(ROWSDUMMYFUNCTION(IF(A547="","",CONCATENATE("https://us.pandora.net/on/demandware.static/-/Sites-pandora-master-catalog/default/dwbb259ca6/productimages/singlepackshot/",LEFT(A547,FIND("-",A547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8" spans="1:4" x14ac:dyDescent="0.25">
      <c r="A548" s="3" t="s">
        <v>550</v>
      </c>
      <c r="B548" s="4">
        <v>99</v>
      </c>
      <c r="C548" s="3" t="str">
        <f ca="1">IFERROR(ROWSDUMMYFUNCTION(IF(A548="","",IFERROR(IMAGE(CONCATENATE("https://us.pandora.net/on/demandware.static/-/Sites-pandora-master-catalog/default/dwbb259ca6/productimages/singlepackshot/",LEFT(A548,FIND("-",A548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8" s="5" t="str">
        <f ca="1">IFERROR(ROWSDUMMYFUNCTION(IF(A548="","",CONCATENATE("https://us.pandora.net/on/demandware.static/-/Sites-pandora-master-catalog/default/dwbb259ca6/productimages/singlepackshot/",LEFT(A548,FIND("-",A548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49" spans="1:4" x14ac:dyDescent="0.25">
      <c r="A549" s="3" t="s">
        <v>551</v>
      </c>
      <c r="B549" s="4">
        <v>99</v>
      </c>
      <c r="C549" s="3" t="str">
        <f ca="1">IFERROR(ROWSDUMMYFUNCTION(IF(A549="","",IFERROR(IMAGE(CONCATENATE("https://us.pandora.net/on/demandware.static/-/Sites-pandora-master-catalog/default/dwbb259ca6/productimages/singlepackshot/",LEFT(A549,FIND("-",A549&amp;"-")-1),"_RGB.png")),""))),"{""url"":""https://us.pandora.net/on/demandware.static/-/Sites-pandora-master-catalog/default/dwbb259ca6/productimages/singlepackshot/168655C01_RGB.png"",""mode"":1}")</f>
        <v>{"url":"https://us.pandora.net/on/demandware.static/-/Sites-pandora-master-catalog/default/dwbb259ca6/productimages/singlepackshot/168655C01_RGB.png","mode":1}</v>
      </c>
      <c r="D549" s="5" t="str">
        <f ca="1">IFERROR(ROWSDUMMYFUNCTION(IF(A549="","",CONCATENATE("https://us.pandora.net/on/demandware.static/-/Sites-pandora-master-catalog/default/dwbb259ca6/productimages/singlepackshot/",LEFT(A549,FIND("-",A549&amp;"-")-1),"_RGB.png"))),"https://us.pandora.net/on/demandware.static/-/Sites-pandora-master-catalog/default/dwbb259ca6/productimages/singlepackshot/168655C01_RGB.png")</f>
        <v>https://us.pandora.net/on/demandware.static/-/Sites-pandora-master-catalog/default/dwbb259ca6/productimages/singlepackshot/168655C01_RGB.png</v>
      </c>
    </row>
    <row r="550" spans="1:4" x14ac:dyDescent="0.25">
      <c r="A550" s="3" t="s">
        <v>552</v>
      </c>
      <c r="B550" s="4">
        <v>39</v>
      </c>
      <c r="C550" s="3" t="str">
        <f ca="1">IFERROR(ROWSDUMMYFUNCTION(IF(A550="","",IFERROR(IMAGE(CONCATENATE("https://us.pandora.net/on/demandware.static/-/Sites-pandora-master-catalog/default/dwbb259ca6/productimages/singlepackshot/",LEFT(A550,FIND("-",A550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0" s="5" t="str">
        <f ca="1">IFERROR(ROWSDUMMYFUNCTION(IF(A550="","",CONCATENATE("https://us.pandora.net/on/demandware.static/-/Sites-pandora-master-catalog/default/dwbb259ca6/productimages/singlepackshot/",LEFT(A550,FIND("-",A550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1" spans="1:4" x14ac:dyDescent="0.25">
      <c r="A551" s="3" t="s">
        <v>553</v>
      </c>
      <c r="B551" s="4">
        <v>39</v>
      </c>
      <c r="C551" s="3" t="str">
        <f ca="1">IFERROR(ROWSDUMMYFUNCTION(IF(A551="","",IFERROR(IMAGE(CONCATENATE("https://us.pandora.net/on/demandware.static/-/Sites-pandora-master-catalog/default/dwbb259ca6/productimages/singlepackshot/",LEFT(A551,FIND("-",A551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1" s="5" t="str">
        <f ca="1">IFERROR(ROWSDUMMYFUNCTION(IF(A551="","",CONCATENATE("https://us.pandora.net/on/demandware.static/-/Sites-pandora-master-catalog/default/dwbb259ca6/productimages/singlepackshot/",LEFT(A551,FIND("-",A551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2" spans="1:4" x14ac:dyDescent="0.25">
      <c r="A552" s="3" t="s">
        <v>554</v>
      </c>
      <c r="B552" s="4">
        <v>39</v>
      </c>
      <c r="C552" s="3" t="str">
        <f ca="1">IFERROR(ROWSDUMMYFUNCTION(IF(A552="","",IFERROR(IMAGE(CONCATENATE("https://us.pandora.net/on/demandware.static/-/Sites-pandora-master-catalog/default/dwbb259ca6/productimages/singlepackshot/",LEFT(A552,FIND("-",A552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2" s="5" t="str">
        <f ca="1">IFERROR(ROWSDUMMYFUNCTION(IF(A552="","",CONCATENATE("https://us.pandora.net/on/demandware.static/-/Sites-pandora-master-catalog/default/dwbb259ca6/productimages/singlepackshot/",LEFT(A552,FIND("-",A552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3" spans="1:4" x14ac:dyDescent="0.25">
      <c r="A553" s="3" t="s">
        <v>555</v>
      </c>
      <c r="B553" s="4">
        <v>39</v>
      </c>
      <c r="C553" s="3" t="str">
        <f ca="1">IFERROR(ROWSDUMMYFUNCTION(IF(A553="","",IFERROR(IMAGE(CONCATENATE("https://us.pandora.net/on/demandware.static/-/Sites-pandora-master-catalog/default/dwbb259ca6/productimages/singlepackshot/",LEFT(A553,FIND("-",A553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3" s="5" t="str">
        <f ca="1">IFERROR(ROWSDUMMYFUNCTION(IF(A553="","",CONCATENATE("https://us.pandora.net/on/demandware.static/-/Sites-pandora-master-catalog/default/dwbb259ca6/productimages/singlepackshot/",LEFT(A553,FIND("-",A553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4" spans="1:4" x14ac:dyDescent="0.25">
      <c r="A554" s="3" t="s">
        <v>556</v>
      </c>
      <c r="B554" s="4">
        <v>39</v>
      </c>
      <c r="C554" s="3" t="str">
        <f ca="1">IFERROR(ROWSDUMMYFUNCTION(IF(A554="","",IFERROR(IMAGE(CONCATENATE("https://us.pandora.net/on/demandware.static/-/Sites-pandora-master-catalog/default/dwbb259ca6/productimages/singlepackshot/",LEFT(A554,FIND("-",A554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4" s="5" t="str">
        <f ca="1">IFERROR(ROWSDUMMYFUNCTION(IF(A554="","",CONCATENATE("https://us.pandora.net/on/demandware.static/-/Sites-pandora-master-catalog/default/dwbb259ca6/productimages/singlepackshot/",LEFT(A554,FIND("-",A554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5" spans="1:4" x14ac:dyDescent="0.25">
      <c r="A555" s="3" t="s">
        <v>557</v>
      </c>
      <c r="B555" s="4">
        <v>39</v>
      </c>
      <c r="C555" s="3" t="str">
        <f ca="1">IFERROR(ROWSDUMMYFUNCTION(IF(A555="","",IFERROR(IMAGE(CONCATENATE("https://us.pandora.net/on/demandware.static/-/Sites-pandora-master-catalog/default/dwbb259ca6/productimages/singlepackshot/",LEFT(A555,FIND("-",A555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5" s="5" t="str">
        <f ca="1">IFERROR(ROWSDUMMYFUNCTION(IF(A555="","",CONCATENATE("https://us.pandora.net/on/demandware.static/-/Sites-pandora-master-catalog/default/dwbb259ca6/productimages/singlepackshot/",LEFT(A555,FIND("-",A555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6" spans="1:4" x14ac:dyDescent="0.25">
      <c r="A556" s="3" t="s">
        <v>558</v>
      </c>
      <c r="B556" s="4">
        <v>39</v>
      </c>
      <c r="C556" s="3" t="str">
        <f ca="1">IFERROR(ROWSDUMMYFUNCTION(IF(A556="","",IFERROR(IMAGE(CONCATENATE("https://us.pandora.net/on/demandware.static/-/Sites-pandora-master-catalog/default/dwbb259ca6/productimages/singlepackshot/",LEFT(A556,FIND("-",A556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6" s="5" t="str">
        <f ca="1">IFERROR(ROWSDUMMYFUNCTION(IF(A556="","",CONCATENATE("https://us.pandora.net/on/demandware.static/-/Sites-pandora-master-catalog/default/dwbb259ca6/productimages/singlepackshot/",LEFT(A556,FIND("-",A556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7" spans="1:4" x14ac:dyDescent="0.25">
      <c r="A557" s="3" t="s">
        <v>559</v>
      </c>
      <c r="B557" s="4">
        <v>39</v>
      </c>
      <c r="C557" s="3" t="str">
        <f ca="1">IFERROR(ROWSDUMMYFUNCTION(IF(A557="","",IFERROR(IMAGE(CONCATENATE("https://us.pandora.net/on/demandware.static/-/Sites-pandora-master-catalog/default/dwbb259ca6/productimages/singlepackshot/",LEFT(A557,FIND("-",A557&amp;"-")-1),"_RGB.png")),""))),"{""url"":""https://us.pandora.net/on/demandware.static/-/Sites-pandora-master-catalog/default/dwbb259ca6/productimages/singlepackshot/168742C00_RGB.png"",""mode"":1}")</f>
        <v>{"url":"https://us.pandora.net/on/demandware.static/-/Sites-pandora-master-catalog/default/dwbb259ca6/productimages/singlepackshot/168742C00_RGB.png","mode":1}</v>
      </c>
      <c r="D557" s="5" t="str">
        <f ca="1">IFERROR(ROWSDUMMYFUNCTION(IF(A557="","",CONCATENATE("https://us.pandora.net/on/demandware.static/-/Sites-pandora-master-catalog/default/dwbb259ca6/productimages/singlepackshot/",LEFT(A557,FIND("-",A557&amp;"-")-1),"_RGB.png"))),"https://us.pandora.net/on/demandware.static/-/Sites-pandora-master-catalog/default/dwbb259ca6/productimages/singlepackshot/168742C00_RGB.png")</f>
        <v>https://us.pandora.net/on/demandware.static/-/Sites-pandora-master-catalog/default/dwbb259ca6/productimages/singlepackshot/168742C00_RGB.png</v>
      </c>
    </row>
    <row r="558" spans="1:4" x14ac:dyDescent="0.25">
      <c r="A558" s="3" t="s">
        <v>560</v>
      </c>
      <c r="B558" s="4">
        <v>59</v>
      </c>
      <c r="C558" s="3" t="str">
        <f ca="1">IFERROR(ROWSDUMMYFUNCTION(IF(A558="","",IFERROR(IMAGE(CONCATENATE("https://us.pandora.net/on/demandware.static/-/Sites-pandora-master-catalog/default/dwbb259ca6/productimages/singlepackshot/",LEFT(A558,FIND("-",A558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58" s="5" t="str">
        <f ca="1">IFERROR(ROWSDUMMYFUNCTION(IF(A558="","",CONCATENATE("https://us.pandora.net/on/demandware.static/-/Sites-pandora-master-catalog/default/dwbb259ca6/productimages/singlepackshot/",LEFT(A558,FIND("-",A558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59" spans="1:4" x14ac:dyDescent="0.25">
      <c r="A559" s="3" t="s">
        <v>561</v>
      </c>
      <c r="B559" s="4">
        <v>59</v>
      </c>
      <c r="C559" s="3" t="str">
        <f ca="1">IFERROR(ROWSDUMMYFUNCTION(IF(A559="","",IFERROR(IMAGE(CONCATENATE("https://us.pandora.net/on/demandware.static/-/Sites-pandora-master-catalog/default/dwbb259ca6/productimages/singlepackshot/",LEFT(A559,FIND("-",A559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59" s="5" t="str">
        <f ca="1">IFERROR(ROWSDUMMYFUNCTION(IF(A559="","",CONCATENATE("https://us.pandora.net/on/demandware.static/-/Sites-pandora-master-catalog/default/dwbb259ca6/productimages/singlepackshot/",LEFT(A559,FIND("-",A559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0" spans="1:4" x14ac:dyDescent="0.25">
      <c r="A560" s="3" t="s">
        <v>562</v>
      </c>
      <c r="B560" s="4">
        <v>59</v>
      </c>
      <c r="C560" s="3" t="str">
        <f ca="1">IFERROR(ROWSDUMMYFUNCTION(IF(A560="","",IFERROR(IMAGE(CONCATENATE("https://us.pandora.net/on/demandware.static/-/Sites-pandora-master-catalog/default/dwbb259ca6/productimages/singlepackshot/",LEFT(A560,FIND("-",A560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60" s="5" t="str">
        <f ca="1">IFERROR(ROWSDUMMYFUNCTION(IF(A560="","",CONCATENATE("https://us.pandora.net/on/demandware.static/-/Sites-pandora-master-catalog/default/dwbb259ca6/productimages/singlepackshot/",LEFT(A560,FIND("-",A560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1" spans="1:4" x14ac:dyDescent="0.25">
      <c r="A561" s="3" t="s">
        <v>563</v>
      </c>
      <c r="B561" s="4">
        <v>59</v>
      </c>
      <c r="C561" s="3" t="str">
        <f ca="1">IFERROR(ROWSDUMMYFUNCTION(IF(A561="","",IFERROR(IMAGE(CONCATENATE("https://us.pandora.net/on/demandware.static/-/Sites-pandora-master-catalog/default/dwbb259ca6/productimages/singlepackshot/",LEFT(A561,FIND("-",A561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61" s="5" t="str">
        <f ca="1">IFERROR(ROWSDUMMYFUNCTION(IF(A561="","",CONCATENATE("https://us.pandora.net/on/demandware.static/-/Sites-pandora-master-catalog/default/dwbb259ca6/productimages/singlepackshot/",LEFT(A561,FIND("-",A561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2" spans="1:4" x14ac:dyDescent="0.25">
      <c r="A562" s="3" t="s">
        <v>564</v>
      </c>
      <c r="B562" s="4">
        <v>59</v>
      </c>
      <c r="C562" s="3" t="str">
        <f ca="1">IFERROR(ROWSDUMMYFUNCTION(IF(A562="","",IFERROR(IMAGE(CONCATENATE("https://us.pandora.net/on/demandware.static/-/Sites-pandora-master-catalog/default/dwbb259ca6/productimages/singlepackshot/",LEFT(A562,FIND("-",A562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62" s="5" t="str">
        <f ca="1">IFERROR(ROWSDUMMYFUNCTION(IF(A562="","",CONCATENATE("https://us.pandora.net/on/demandware.static/-/Sites-pandora-master-catalog/default/dwbb259ca6/productimages/singlepackshot/",LEFT(A562,FIND("-",A562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3" spans="1:4" x14ac:dyDescent="0.25">
      <c r="A563" s="3" t="s">
        <v>565</v>
      </c>
      <c r="B563" s="4">
        <v>59</v>
      </c>
      <c r="C563" s="3" t="str">
        <f ca="1">IFERROR(ROWSDUMMYFUNCTION(IF(A563="","",IFERROR(IMAGE(CONCATENATE("https://us.pandora.net/on/demandware.static/-/Sites-pandora-master-catalog/default/dwbb259ca6/productimages/singlepackshot/",LEFT(A563,FIND("-",A563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63" s="5" t="str">
        <f ca="1">IFERROR(ROWSDUMMYFUNCTION(IF(A563="","",CONCATENATE("https://us.pandora.net/on/demandware.static/-/Sites-pandora-master-catalog/default/dwbb259ca6/productimages/singlepackshot/",LEFT(A563,FIND("-",A563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4" spans="1:4" x14ac:dyDescent="0.25">
      <c r="A564" s="3" t="s">
        <v>566</v>
      </c>
      <c r="B564" s="4">
        <v>59</v>
      </c>
      <c r="C564" s="3" t="str">
        <f ca="1">IFERROR(ROWSDUMMYFUNCTION(IF(A564="","",IFERROR(IMAGE(CONCATENATE("https://us.pandora.net/on/demandware.static/-/Sites-pandora-master-catalog/default/dwbb259ca6/productimages/singlepackshot/",LEFT(A564,FIND("-",A564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64" s="5" t="str">
        <f ca="1">IFERROR(ROWSDUMMYFUNCTION(IF(A564="","",CONCATENATE("https://us.pandora.net/on/demandware.static/-/Sites-pandora-master-catalog/default/dwbb259ca6/productimages/singlepackshot/",LEFT(A564,FIND("-",A564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5" spans="1:4" x14ac:dyDescent="0.25">
      <c r="A565" s="3" t="s">
        <v>567</v>
      </c>
      <c r="B565" s="4">
        <v>59</v>
      </c>
      <c r="C565" s="3" t="str">
        <f ca="1">IFERROR(ROWSDUMMYFUNCTION(IF(A565="","",IFERROR(IMAGE(CONCATENATE("https://us.pandora.net/on/demandware.static/-/Sites-pandora-master-catalog/default/dwbb259ca6/productimages/singlepackshot/",LEFT(A565,FIND("-",A565&amp;"-")-1),"_RGB.png")),""))),"{""url"":""https://us.pandora.net/on/demandware.static/-/Sites-pandora-master-catalog/default/dwbb259ca6/productimages/singlepackshot/168758C01_RGB.png"",""mode"":1}")</f>
        <v>{"url":"https://us.pandora.net/on/demandware.static/-/Sites-pandora-master-catalog/default/dwbb259ca6/productimages/singlepackshot/168758C01_RGB.png","mode":1}</v>
      </c>
      <c r="D565" s="5" t="str">
        <f ca="1">IFERROR(ROWSDUMMYFUNCTION(IF(A565="","",CONCATENATE("https://us.pandora.net/on/demandware.static/-/Sites-pandora-master-catalog/default/dwbb259ca6/productimages/singlepackshot/",LEFT(A565,FIND("-",A565&amp;"-")-1),"_RGB.png"))),"https://us.pandora.net/on/demandware.static/-/Sites-pandora-master-catalog/default/dwbb259ca6/productimages/singlepackshot/168758C01_RGB.png")</f>
        <v>https://us.pandora.net/on/demandware.static/-/Sites-pandora-master-catalog/default/dwbb259ca6/productimages/singlepackshot/168758C01_RGB.png</v>
      </c>
    </row>
    <row r="566" spans="1:4" x14ac:dyDescent="0.25">
      <c r="A566" s="3" t="s">
        <v>568</v>
      </c>
      <c r="B566" s="4">
        <v>49</v>
      </c>
      <c r="C566" s="3" t="str">
        <f ca="1">IFERROR(ROWSDUMMYFUNCTION(IF(A566="","",IFERROR(IMAGE(CONCATENATE("https://us.pandora.net/on/demandware.static/-/Sites-pandora-master-catalog/default/dwbb259ca6/productimages/singlepackshot/",LEFT(A566,FIND("-",A566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66" s="5" t="str">
        <f ca="1">IFERROR(ROWSDUMMYFUNCTION(IF(A566="","",CONCATENATE("https://us.pandora.net/on/demandware.static/-/Sites-pandora-master-catalog/default/dwbb259ca6/productimages/singlepackshot/",LEFT(A566,FIND("-",A566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67" spans="1:4" x14ac:dyDescent="0.25">
      <c r="A567" s="3" t="s">
        <v>569</v>
      </c>
      <c r="B567" s="4">
        <v>49</v>
      </c>
      <c r="C567" s="3" t="str">
        <f ca="1">IFERROR(ROWSDUMMYFUNCTION(IF(A567="","",IFERROR(IMAGE(CONCATENATE("https://us.pandora.net/on/demandware.static/-/Sites-pandora-master-catalog/default/dwbb259ca6/productimages/singlepackshot/",LEFT(A567,FIND("-",A567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67" s="5" t="str">
        <f ca="1">IFERROR(ROWSDUMMYFUNCTION(IF(A567="","",CONCATENATE("https://us.pandora.net/on/demandware.static/-/Sites-pandora-master-catalog/default/dwbb259ca6/productimages/singlepackshot/",LEFT(A567,FIND("-",A567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68" spans="1:4" x14ac:dyDescent="0.25">
      <c r="A568" s="3" t="s">
        <v>570</v>
      </c>
      <c r="B568" s="4">
        <v>49</v>
      </c>
      <c r="C568" s="3" t="str">
        <f ca="1">IFERROR(ROWSDUMMYFUNCTION(IF(A568="","",IFERROR(IMAGE(CONCATENATE("https://us.pandora.net/on/demandware.static/-/Sites-pandora-master-catalog/default/dwbb259ca6/productimages/singlepackshot/",LEFT(A568,FIND("-",A568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68" s="5" t="str">
        <f ca="1">IFERROR(ROWSDUMMYFUNCTION(IF(A568="","",CONCATENATE("https://us.pandora.net/on/demandware.static/-/Sites-pandora-master-catalog/default/dwbb259ca6/productimages/singlepackshot/",LEFT(A568,FIND("-",A568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69" spans="1:4" x14ac:dyDescent="0.25">
      <c r="A569" s="3" t="s">
        <v>571</v>
      </c>
      <c r="B569" s="4">
        <v>49</v>
      </c>
      <c r="C569" s="3" t="str">
        <f ca="1">IFERROR(ROWSDUMMYFUNCTION(IF(A569="","",IFERROR(IMAGE(CONCATENATE("https://us.pandora.net/on/demandware.static/-/Sites-pandora-master-catalog/default/dwbb259ca6/productimages/singlepackshot/",LEFT(A569,FIND("-",A569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69" s="5" t="str">
        <f ca="1">IFERROR(ROWSDUMMYFUNCTION(IF(A569="","",CONCATENATE("https://us.pandora.net/on/demandware.static/-/Sites-pandora-master-catalog/default/dwbb259ca6/productimages/singlepackshot/",LEFT(A569,FIND("-",A569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70" spans="1:4" x14ac:dyDescent="0.25">
      <c r="A570" s="3" t="s">
        <v>572</v>
      </c>
      <c r="B570" s="4">
        <v>49</v>
      </c>
      <c r="C570" s="3" t="str">
        <f ca="1">IFERROR(ROWSDUMMYFUNCTION(IF(A570="","",IFERROR(IMAGE(CONCATENATE("https://us.pandora.net/on/demandware.static/-/Sites-pandora-master-catalog/default/dwbb259ca6/productimages/singlepackshot/",LEFT(A570,FIND("-",A570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70" s="5" t="str">
        <f ca="1">IFERROR(ROWSDUMMYFUNCTION(IF(A570="","",CONCATENATE("https://us.pandora.net/on/demandware.static/-/Sites-pandora-master-catalog/default/dwbb259ca6/productimages/singlepackshot/",LEFT(A570,FIND("-",A570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71" spans="1:4" x14ac:dyDescent="0.25">
      <c r="A571" s="3" t="s">
        <v>573</v>
      </c>
      <c r="B571" s="4">
        <v>49</v>
      </c>
      <c r="C571" s="3" t="str">
        <f ca="1">IFERROR(ROWSDUMMYFUNCTION(IF(A571="","",IFERROR(IMAGE(CONCATENATE("https://us.pandora.net/on/demandware.static/-/Sites-pandora-master-catalog/default/dwbb259ca6/productimages/singlepackshot/",LEFT(A571,FIND("-",A571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71" s="5" t="str">
        <f ca="1">IFERROR(ROWSDUMMYFUNCTION(IF(A571="","",CONCATENATE("https://us.pandora.net/on/demandware.static/-/Sites-pandora-master-catalog/default/dwbb259ca6/productimages/singlepackshot/",LEFT(A571,FIND("-",A571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72" spans="1:4" x14ac:dyDescent="0.25">
      <c r="A572" s="3" t="s">
        <v>574</v>
      </c>
      <c r="B572" s="4">
        <v>49</v>
      </c>
      <c r="C572" s="3" t="str">
        <f ca="1">IFERROR(ROWSDUMMYFUNCTION(IF(A572="","",IFERROR(IMAGE(CONCATENATE("https://us.pandora.net/on/demandware.static/-/Sites-pandora-master-catalog/default/dwbb259ca6/productimages/singlepackshot/",LEFT(A572,FIND("-",A572&amp;"-")-1),"_RGB.png")),""))),"{""url"":""https://us.pandora.net/on/demandware.static/-/Sites-pandora-master-catalog/default/dwbb259ca6/productimages/singlepackshot/168898C00_RGB.png"",""mode"":1}")</f>
        <v>{"url":"https://us.pandora.net/on/demandware.static/-/Sites-pandora-master-catalog/default/dwbb259ca6/productimages/singlepackshot/168898C00_RGB.png","mode":1}</v>
      </c>
      <c r="D572" s="5" t="str">
        <f ca="1">IFERROR(ROWSDUMMYFUNCTION(IF(A572="","",CONCATENATE("https://us.pandora.net/on/demandware.static/-/Sites-pandora-master-catalog/default/dwbb259ca6/productimages/singlepackshot/",LEFT(A572,FIND("-",A572&amp;"-")-1),"_RGB.png"))),"https://us.pandora.net/on/demandware.static/-/Sites-pandora-master-catalog/default/dwbb259ca6/productimages/singlepackshot/168898C00_RGB.png")</f>
        <v>https://us.pandora.net/on/demandware.static/-/Sites-pandora-master-catalog/default/dwbb259ca6/productimages/singlepackshot/168898C00_RGB.png</v>
      </c>
    </row>
    <row r="573" spans="1:4" x14ac:dyDescent="0.25">
      <c r="A573" s="3" t="s">
        <v>575</v>
      </c>
      <c r="B573" s="4">
        <v>129</v>
      </c>
      <c r="C573" s="3" t="str">
        <f ca="1">IFERROR(ROWSDUMMYFUNCTION(IF(A573="","",IFERROR(IMAGE(CONCATENATE("https://us.pandora.net/on/demandware.static/-/Sites-pandora-master-catalog/default/dwbb259ca6/productimages/singlepackshot/",LEFT(A573,FIND("-",A573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3" s="5" t="str">
        <f ca="1">IFERROR(ROWSDUMMYFUNCTION(IF(A573="","",CONCATENATE("https://us.pandora.net/on/demandware.static/-/Sites-pandora-master-catalog/default/dwbb259ca6/productimages/singlepackshot/",LEFT(A573,FIND("-",A573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74" spans="1:4" x14ac:dyDescent="0.25">
      <c r="A574" s="3" t="s">
        <v>576</v>
      </c>
      <c r="B574" s="4">
        <v>129</v>
      </c>
      <c r="C574" s="3" t="str">
        <f ca="1">IFERROR(ROWSDUMMYFUNCTION(IF(A574="","",IFERROR(IMAGE(CONCATENATE("https://us.pandora.net/on/demandware.static/-/Sites-pandora-master-catalog/default/dwbb259ca6/productimages/singlepackshot/",LEFT(A574,FIND("-",A574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4" s="5" t="str">
        <f ca="1">IFERROR(ROWSDUMMYFUNCTION(IF(A574="","",CONCATENATE("https://us.pandora.net/on/demandware.static/-/Sites-pandora-master-catalog/default/dwbb259ca6/productimages/singlepackshot/",LEFT(A574,FIND("-",A574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75" spans="1:4" x14ac:dyDescent="0.25">
      <c r="A575" s="3" t="s">
        <v>577</v>
      </c>
      <c r="B575" s="4">
        <v>129</v>
      </c>
      <c r="C575" s="3" t="str">
        <f ca="1">IFERROR(ROWSDUMMYFUNCTION(IF(A575="","",IFERROR(IMAGE(CONCATENATE("https://us.pandora.net/on/demandware.static/-/Sites-pandora-master-catalog/default/dwbb259ca6/productimages/singlepackshot/",LEFT(A575,FIND("-",A575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5" s="5" t="str">
        <f ca="1">IFERROR(ROWSDUMMYFUNCTION(IF(A575="","",CONCATENATE("https://us.pandora.net/on/demandware.static/-/Sites-pandora-master-catalog/default/dwbb259ca6/productimages/singlepackshot/",LEFT(A575,FIND("-",A575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76" spans="1:4" x14ac:dyDescent="0.25">
      <c r="A576" s="3" t="s">
        <v>578</v>
      </c>
      <c r="B576" s="4">
        <v>129</v>
      </c>
      <c r="C576" s="3" t="str">
        <f ca="1">IFERROR(ROWSDUMMYFUNCTION(IF(A576="","",IFERROR(IMAGE(CONCATENATE("https://us.pandora.net/on/demandware.static/-/Sites-pandora-master-catalog/default/dwbb259ca6/productimages/singlepackshot/",LEFT(A576,FIND("-",A576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6" s="5" t="str">
        <f ca="1">IFERROR(ROWSDUMMYFUNCTION(IF(A576="","",CONCATENATE("https://us.pandora.net/on/demandware.static/-/Sites-pandora-master-catalog/default/dwbb259ca6/productimages/singlepackshot/",LEFT(A576,FIND("-",A576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77" spans="1:4" x14ac:dyDescent="0.25">
      <c r="A577" s="3" t="s">
        <v>579</v>
      </c>
      <c r="B577" s="4">
        <v>129</v>
      </c>
      <c r="C577" s="3" t="str">
        <f ca="1">IFERROR(ROWSDUMMYFUNCTION(IF(A577="","",IFERROR(IMAGE(CONCATENATE("https://us.pandora.net/on/demandware.static/-/Sites-pandora-master-catalog/default/dwbb259ca6/productimages/singlepackshot/",LEFT(A577,FIND("-",A577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7" s="5" t="str">
        <f ca="1">IFERROR(ROWSDUMMYFUNCTION(IF(A577="","",CONCATENATE("https://us.pandora.net/on/demandware.static/-/Sites-pandora-master-catalog/default/dwbb259ca6/productimages/singlepackshot/",LEFT(A577,FIND("-",A577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78" spans="1:4" x14ac:dyDescent="0.25">
      <c r="A578" s="3" t="s">
        <v>580</v>
      </c>
      <c r="B578" s="4">
        <v>129</v>
      </c>
      <c r="C578" s="3" t="str">
        <f ca="1">IFERROR(ROWSDUMMYFUNCTION(IF(A578="","",IFERROR(IMAGE(CONCATENATE("https://us.pandora.net/on/demandware.static/-/Sites-pandora-master-catalog/default/dwbb259ca6/productimages/singlepackshot/",LEFT(A578,FIND("-",A578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8" s="5" t="str">
        <f ca="1">IFERROR(ROWSDUMMYFUNCTION(IF(A578="","",CONCATENATE("https://us.pandora.net/on/demandware.static/-/Sites-pandora-master-catalog/default/dwbb259ca6/productimages/singlepackshot/",LEFT(A578,FIND("-",A578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79" spans="1:4" x14ac:dyDescent="0.25">
      <c r="A579" s="3" t="s">
        <v>581</v>
      </c>
      <c r="B579" s="4">
        <v>129</v>
      </c>
      <c r="C579" s="3" t="str">
        <f ca="1">IFERROR(ROWSDUMMYFUNCTION(IF(A579="","",IFERROR(IMAGE(CONCATENATE("https://us.pandora.net/on/demandware.static/-/Sites-pandora-master-catalog/default/dwbb259ca6/productimages/singlepackshot/",LEFT(A579,FIND("-",A579&amp;"-")-1),"_RGB.png")),""))),"{""url"":""https://us.pandora.net/on/demandware.static/-/Sites-pandora-master-catalog/default/dwbb259ca6/productimages/singlepackshot/169057C01_RGB.png"",""mode"":1}")</f>
        <v>{"url":"https://us.pandora.net/on/demandware.static/-/Sites-pandora-master-catalog/default/dwbb259ca6/productimages/singlepackshot/169057C01_RGB.png","mode":1}</v>
      </c>
      <c r="D579" s="5" t="str">
        <f ca="1">IFERROR(ROWSDUMMYFUNCTION(IF(A579="","",CONCATENATE("https://us.pandora.net/on/demandware.static/-/Sites-pandora-master-catalog/default/dwbb259ca6/productimages/singlepackshot/",LEFT(A579,FIND("-",A579&amp;"-")-1),"_RGB.png"))),"https://us.pandora.net/on/demandware.static/-/Sites-pandora-master-catalog/default/dwbb259ca6/productimages/singlepackshot/169057C01_RGB.png")</f>
        <v>https://us.pandora.net/on/demandware.static/-/Sites-pandora-master-catalog/default/dwbb259ca6/productimages/singlepackshot/169057C01_RGB.png</v>
      </c>
    </row>
    <row r="580" spans="1:4" x14ac:dyDescent="0.25">
      <c r="A580" s="3" t="s">
        <v>582</v>
      </c>
      <c r="B580" s="4">
        <v>79</v>
      </c>
      <c r="C580" s="3" t="str">
        <f ca="1">IFERROR(ROWSDUMMYFUNCTION(IF(A580="","",IFERROR(IMAGE(CONCATENATE("https://us.pandora.net/on/demandware.static/-/Sites-pandora-master-catalog/default/dwbb259ca6/productimages/singlepackshot/",LEFT(A580,FIND("-",A580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0" s="5" t="str">
        <f ca="1">IFERROR(ROWSDUMMYFUNCTION(IF(A580="","",CONCATENATE("https://us.pandora.net/on/demandware.static/-/Sites-pandora-master-catalog/default/dwbb259ca6/productimages/singlepackshot/",LEFT(A580,FIND("-",A580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1" spans="1:4" x14ac:dyDescent="0.25">
      <c r="A581" s="3" t="s">
        <v>583</v>
      </c>
      <c r="B581" s="4">
        <v>79</v>
      </c>
      <c r="C581" s="3" t="str">
        <f ca="1">IFERROR(ROWSDUMMYFUNCTION(IF(A581="","",IFERROR(IMAGE(CONCATENATE("https://us.pandora.net/on/demandware.static/-/Sites-pandora-master-catalog/default/dwbb259ca6/productimages/singlepackshot/",LEFT(A581,FIND("-",A581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1" s="5" t="str">
        <f ca="1">IFERROR(ROWSDUMMYFUNCTION(IF(A581="","",CONCATENATE("https://us.pandora.net/on/demandware.static/-/Sites-pandora-master-catalog/default/dwbb259ca6/productimages/singlepackshot/",LEFT(A581,FIND("-",A581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2" spans="1:4" x14ac:dyDescent="0.25">
      <c r="A582" s="3" t="s">
        <v>584</v>
      </c>
      <c r="B582" s="4">
        <v>79</v>
      </c>
      <c r="C582" s="3" t="str">
        <f ca="1">IFERROR(ROWSDUMMYFUNCTION(IF(A582="","",IFERROR(IMAGE(CONCATENATE("https://us.pandora.net/on/demandware.static/-/Sites-pandora-master-catalog/default/dwbb259ca6/productimages/singlepackshot/",LEFT(A582,FIND("-",A582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2" s="5" t="str">
        <f ca="1">IFERROR(ROWSDUMMYFUNCTION(IF(A582="","",CONCATENATE("https://us.pandora.net/on/demandware.static/-/Sites-pandora-master-catalog/default/dwbb259ca6/productimages/singlepackshot/",LEFT(A582,FIND("-",A582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3" spans="1:4" x14ac:dyDescent="0.25">
      <c r="A583" s="3" t="s">
        <v>585</v>
      </c>
      <c r="B583" s="4">
        <v>79</v>
      </c>
      <c r="C583" s="3" t="str">
        <f ca="1">IFERROR(ROWSDUMMYFUNCTION(IF(A583="","",IFERROR(IMAGE(CONCATENATE("https://us.pandora.net/on/demandware.static/-/Sites-pandora-master-catalog/default/dwbb259ca6/productimages/singlepackshot/",LEFT(A583,FIND("-",A583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3" s="5" t="str">
        <f ca="1">IFERROR(ROWSDUMMYFUNCTION(IF(A583="","",CONCATENATE("https://us.pandora.net/on/demandware.static/-/Sites-pandora-master-catalog/default/dwbb259ca6/productimages/singlepackshot/",LEFT(A583,FIND("-",A583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4" spans="1:4" x14ac:dyDescent="0.25">
      <c r="A584" s="3" t="s">
        <v>586</v>
      </c>
      <c r="B584" s="4">
        <v>79</v>
      </c>
      <c r="C584" s="3" t="str">
        <f ca="1">IFERROR(ROWSDUMMYFUNCTION(IF(A584="","",IFERROR(IMAGE(CONCATENATE("https://us.pandora.net/on/demandware.static/-/Sites-pandora-master-catalog/default/dwbb259ca6/productimages/singlepackshot/",LEFT(A584,FIND("-",A584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4" s="5" t="str">
        <f ca="1">IFERROR(ROWSDUMMYFUNCTION(IF(A584="","",CONCATENATE("https://us.pandora.net/on/demandware.static/-/Sites-pandora-master-catalog/default/dwbb259ca6/productimages/singlepackshot/",LEFT(A584,FIND("-",A584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5" spans="1:4" x14ac:dyDescent="0.25">
      <c r="A585" s="3" t="s">
        <v>587</v>
      </c>
      <c r="B585" s="4">
        <v>79</v>
      </c>
      <c r="C585" s="3" t="str">
        <f ca="1">IFERROR(ROWSDUMMYFUNCTION(IF(A585="","",IFERROR(IMAGE(CONCATENATE("https://us.pandora.net/on/demandware.static/-/Sites-pandora-master-catalog/default/dwbb259ca6/productimages/singlepackshot/",LEFT(A585,FIND("-",A585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5" s="5" t="str">
        <f ca="1">IFERROR(ROWSDUMMYFUNCTION(IF(A585="","",CONCATENATE("https://us.pandora.net/on/demandware.static/-/Sites-pandora-master-catalog/default/dwbb259ca6/productimages/singlepackshot/",LEFT(A585,FIND("-",A585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6" spans="1:4" x14ac:dyDescent="0.25">
      <c r="A586" s="3" t="s">
        <v>588</v>
      </c>
      <c r="B586" s="4">
        <v>79</v>
      </c>
      <c r="C586" s="3" t="str">
        <f ca="1">IFERROR(ROWSDUMMYFUNCTION(IF(A586="","",IFERROR(IMAGE(CONCATENATE("https://us.pandora.net/on/demandware.static/-/Sites-pandora-master-catalog/default/dwbb259ca6/productimages/singlepackshot/",LEFT(A586,FIND("-",A586&amp;"-")-1),"_RGB.png")),""))),"{""url"":""https://us.pandora.net/on/demandware.static/-/Sites-pandora-master-catalog/default/dwbb259ca6/productimages/singlepackshot/169302C01_RGB.png"",""mode"":1}")</f>
        <v>{"url":"https://us.pandora.net/on/demandware.static/-/Sites-pandora-master-catalog/default/dwbb259ca6/productimages/singlepackshot/169302C01_RGB.png","mode":1}</v>
      </c>
      <c r="D586" s="5" t="str">
        <f ca="1">IFERROR(ROWSDUMMYFUNCTION(IF(A586="","",CONCATENATE("https://us.pandora.net/on/demandware.static/-/Sites-pandora-master-catalog/default/dwbb259ca6/productimages/singlepackshot/",LEFT(A586,FIND("-",A586&amp;"-")-1),"_RGB.png"))),"https://us.pandora.net/on/demandware.static/-/Sites-pandora-master-catalog/default/dwbb259ca6/productimages/singlepackshot/169302C01_RGB.png")</f>
        <v>https://us.pandora.net/on/demandware.static/-/Sites-pandora-master-catalog/default/dwbb259ca6/productimages/singlepackshot/169302C01_RGB.png</v>
      </c>
    </row>
    <row r="587" spans="1:4" x14ac:dyDescent="0.25">
      <c r="A587" s="3" t="s">
        <v>589</v>
      </c>
      <c r="B587" s="4">
        <v>49</v>
      </c>
      <c r="C587" s="3" t="str">
        <f ca="1">IFERROR(ROWSDUMMYFUNCTION(IF(A587="","",IFERROR(IMAGE(CONCATENATE("https://us.pandora.net/on/demandware.static/-/Sites-pandora-master-catalog/default/dwbb259ca6/productimages/singlepackshot/",LEFT(A587,FIND("-",A587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87" s="5" t="str">
        <f ca="1">IFERROR(ROWSDUMMYFUNCTION(IF(A587="","",CONCATENATE("https://us.pandora.net/on/demandware.static/-/Sites-pandora-master-catalog/default/dwbb259ca6/productimages/singlepackshot/",LEFT(A587,FIND("-",A587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88" spans="1:4" x14ac:dyDescent="0.25">
      <c r="A588" s="3" t="s">
        <v>590</v>
      </c>
      <c r="B588" s="4">
        <v>49</v>
      </c>
      <c r="C588" s="3" t="str">
        <f ca="1">IFERROR(ROWSDUMMYFUNCTION(IF(A588="","",IFERROR(IMAGE(CONCATENATE("https://us.pandora.net/on/demandware.static/-/Sites-pandora-master-catalog/default/dwbb259ca6/productimages/singlepackshot/",LEFT(A588,FIND("-",A588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88" s="5" t="str">
        <f ca="1">IFERROR(ROWSDUMMYFUNCTION(IF(A588="","",CONCATENATE("https://us.pandora.net/on/demandware.static/-/Sites-pandora-master-catalog/default/dwbb259ca6/productimages/singlepackshot/",LEFT(A588,FIND("-",A588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89" spans="1:4" x14ac:dyDescent="0.25">
      <c r="A589" s="3" t="s">
        <v>591</v>
      </c>
      <c r="B589" s="4">
        <v>49</v>
      </c>
      <c r="C589" s="3" t="str">
        <f ca="1">IFERROR(ROWSDUMMYFUNCTION(IF(A589="","",IFERROR(IMAGE(CONCATENATE("https://us.pandora.net/on/demandware.static/-/Sites-pandora-master-catalog/default/dwbb259ca6/productimages/singlepackshot/",LEFT(A589,FIND("-",A589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89" s="5" t="str">
        <f ca="1">IFERROR(ROWSDUMMYFUNCTION(IF(A589="","",CONCATENATE("https://us.pandora.net/on/demandware.static/-/Sites-pandora-master-catalog/default/dwbb259ca6/productimages/singlepackshot/",LEFT(A589,FIND("-",A589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90" spans="1:4" x14ac:dyDescent="0.25">
      <c r="A590" s="3" t="s">
        <v>592</v>
      </c>
      <c r="B590" s="4">
        <v>49</v>
      </c>
      <c r="C590" s="3" t="str">
        <f ca="1">IFERROR(ROWSDUMMYFUNCTION(IF(A590="","",IFERROR(IMAGE(CONCATENATE("https://us.pandora.net/on/demandware.static/-/Sites-pandora-master-catalog/default/dwbb259ca6/productimages/singlepackshot/",LEFT(A590,FIND("-",A590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90" s="5" t="str">
        <f ca="1">IFERROR(ROWSDUMMYFUNCTION(IF(A590="","",CONCATENATE("https://us.pandora.net/on/demandware.static/-/Sites-pandora-master-catalog/default/dwbb259ca6/productimages/singlepackshot/",LEFT(A590,FIND("-",A590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91" spans="1:4" x14ac:dyDescent="0.25">
      <c r="A591" s="3" t="s">
        <v>593</v>
      </c>
      <c r="B591" s="4">
        <v>49</v>
      </c>
      <c r="C591" s="3" t="str">
        <f ca="1">IFERROR(ROWSDUMMYFUNCTION(IF(A591="","",IFERROR(IMAGE(CONCATENATE("https://us.pandora.net/on/demandware.static/-/Sites-pandora-master-catalog/default/dwbb259ca6/productimages/singlepackshot/",LEFT(A591,FIND("-",A591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91" s="5" t="str">
        <f ca="1">IFERROR(ROWSDUMMYFUNCTION(IF(A591="","",CONCATENATE("https://us.pandora.net/on/demandware.static/-/Sites-pandora-master-catalog/default/dwbb259ca6/productimages/singlepackshot/",LEFT(A591,FIND("-",A591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92" spans="1:4" x14ac:dyDescent="0.25">
      <c r="A592" s="3" t="s">
        <v>594</v>
      </c>
      <c r="B592" s="4">
        <v>49</v>
      </c>
      <c r="C592" s="3" t="str">
        <f ca="1">IFERROR(ROWSDUMMYFUNCTION(IF(A592="","",IFERROR(IMAGE(CONCATENATE("https://us.pandora.net/on/demandware.static/-/Sites-pandora-master-catalog/default/dwbb259ca6/productimages/singlepackshot/",LEFT(A592,FIND("-",A592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92" s="5" t="str">
        <f ca="1">IFERROR(ROWSDUMMYFUNCTION(IF(A592="","",CONCATENATE("https://us.pandora.net/on/demandware.static/-/Sites-pandora-master-catalog/default/dwbb259ca6/productimages/singlepackshot/",LEFT(A592,FIND("-",A592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93" spans="1:4" x14ac:dyDescent="0.25">
      <c r="A593" s="3" t="s">
        <v>595</v>
      </c>
      <c r="B593" s="4">
        <v>49</v>
      </c>
      <c r="C593" s="3" t="str">
        <f ca="1">IFERROR(ROWSDUMMYFUNCTION(IF(A593="","",IFERROR(IMAGE(CONCATENATE("https://us.pandora.net/on/demandware.static/-/Sites-pandora-master-catalog/default/dwbb259ca6/productimages/singlepackshot/",LEFT(A593,FIND("-",A593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93" s="5" t="str">
        <f ca="1">IFERROR(ROWSDUMMYFUNCTION(IF(A593="","",CONCATENATE("https://us.pandora.net/on/demandware.static/-/Sites-pandora-master-catalog/default/dwbb259ca6/productimages/singlepackshot/",LEFT(A593,FIND("-",A593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94" spans="1:4" x14ac:dyDescent="0.25">
      <c r="A594" s="3" t="s">
        <v>596</v>
      </c>
      <c r="B594" s="4">
        <v>49</v>
      </c>
      <c r="C594" s="3" t="str">
        <f ca="1">IFERROR(ROWSDUMMYFUNCTION(IF(A594="","",IFERROR(IMAGE(CONCATENATE("https://us.pandora.net/on/demandware.static/-/Sites-pandora-master-catalog/default/dwbb259ca6/productimages/singlepackshot/",LEFT(A594,FIND("-",A594&amp;"-")-1),"_RGB.png")),""))),"{""url"":""https://us.pandora.net/on/demandware.static/-/Sites-pandora-master-catalog/default/dwbb259ca6/productimages/singlepackshot/169679C01_RGB.png"",""mode"":1}")</f>
        <v>{"url":"https://us.pandora.net/on/demandware.static/-/Sites-pandora-master-catalog/default/dwbb259ca6/productimages/singlepackshot/169679C01_RGB.png","mode":1}</v>
      </c>
      <c r="D594" s="5" t="str">
        <f ca="1">IFERROR(ROWSDUMMYFUNCTION(IF(A594="","",CONCATENATE("https://us.pandora.net/on/demandware.static/-/Sites-pandora-master-catalog/default/dwbb259ca6/productimages/singlepackshot/",LEFT(A594,FIND("-",A594&amp;"-")-1),"_RGB.png"))),"https://us.pandora.net/on/demandware.static/-/Sites-pandora-master-catalog/default/dwbb259ca6/productimages/singlepackshot/169679C01_RGB.png")</f>
        <v>https://us.pandora.net/on/demandware.static/-/Sites-pandora-master-catalog/default/dwbb259ca6/productimages/singlepackshot/169679C01_RGB.png</v>
      </c>
    </row>
    <row r="595" spans="1:4" x14ac:dyDescent="0.25">
      <c r="A595" s="3" t="s">
        <v>597</v>
      </c>
      <c r="B595" s="4">
        <v>109</v>
      </c>
      <c r="C595" s="3" t="str">
        <f ca="1">IFERROR(ROWSDUMMYFUNCTION(IF(A595="","",IFERROR(IMAGE(CONCATENATE("https://us.pandora.net/on/demandware.static/-/Sites-pandora-master-catalog/default/dwbb259ca6/productimages/singlepackshot/",LEFT(A595,FIND("-",A595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595" s="5" t="str">
        <f ca="1">IFERROR(ROWSDUMMYFUNCTION(IF(A595="","",CONCATENATE("https://us.pandora.net/on/demandware.static/-/Sites-pandora-master-catalog/default/dwbb259ca6/productimages/singlepackshot/",LEFT(A595,FIND("-",A595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596" spans="1:4" x14ac:dyDescent="0.25">
      <c r="A596" s="3" t="s">
        <v>598</v>
      </c>
      <c r="B596" s="4">
        <v>109</v>
      </c>
      <c r="C596" s="3" t="str">
        <f ca="1">IFERROR(ROWSDUMMYFUNCTION(IF(A596="","",IFERROR(IMAGE(CONCATENATE("https://us.pandora.net/on/demandware.static/-/Sites-pandora-master-catalog/default/dwbb259ca6/productimages/singlepackshot/",LEFT(A596,FIND("-",A596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596" s="5" t="str">
        <f ca="1">IFERROR(ROWSDUMMYFUNCTION(IF(A596="","",CONCATENATE("https://us.pandora.net/on/demandware.static/-/Sites-pandora-master-catalog/default/dwbb259ca6/productimages/singlepackshot/",LEFT(A596,FIND("-",A596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597" spans="1:4" x14ac:dyDescent="0.25">
      <c r="A597" s="3" t="s">
        <v>599</v>
      </c>
      <c r="B597" s="4">
        <v>109</v>
      </c>
      <c r="C597" s="3" t="str">
        <f ca="1">IFERROR(ROWSDUMMYFUNCTION(IF(A597="","",IFERROR(IMAGE(CONCATENATE("https://us.pandora.net/on/demandware.static/-/Sites-pandora-master-catalog/default/dwbb259ca6/productimages/singlepackshot/",LEFT(A597,FIND("-",A597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597" s="5" t="str">
        <f ca="1">IFERROR(ROWSDUMMYFUNCTION(IF(A597="","",CONCATENATE("https://us.pandora.net/on/demandware.static/-/Sites-pandora-master-catalog/default/dwbb259ca6/productimages/singlepackshot/",LEFT(A597,FIND("-",A597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598" spans="1:4" x14ac:dyDescent="0.25">
      <c r="A598" s="3" t="s">
        <v>600</v>
      </c>
      <c r="B598" s="4">
        <v>109</v>
      </c>
      <c r="C598" s="3" t="str">
        <f ca="1">IFERROR(ROWSDUMMYFUNCTION(IF(A598="","",IFERROR(IMAGE(CONCATENATE("https://us.pandora.net/on/demandware.static/-/Sites-pandora-master-catalog/default/dwbb259ca6/productimages/singlepackshot/",LEFT(A598,FIND("-",A598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598" s="5" t="str">
        <f ca="1">IFERROR(ROWSDUMMYFUNCTION(IF(A598="","",CONCATENATE("https://us.pandora.net/on/demandware.static/-/Sites-pandora-master-catalog/default/dwbb259ca6/productimages/singlepackshot/",LEFT(A598,FIND("-",A598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599" spans="1:4" x14ac:dyDescent="0.25">
      <c r="A599" s="3" t="s">
        <v>601</v>
      </c>
      <c r="B599" s="4">
        <v>109</v>
      </c>
      <c r="C599" s="3" t="str">
        <f ca="1">IFERROR(ROWSDUMMYFUNCTION(IF(A599="","",IFERROR(IMAGE(CONCATENATE("https://us.pandora.net/on/demandware.static/-/Sites-pandora-master-catalog/default/dwbb259ca6/productimages/singlepackshot/",LEFT(A599,FIND("-",A599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599" s="5" t="str">
        <f ca="1">IFERROR(ROWSDUMMYFUNCTION(IF(A599="","",CONCATENATE("https://us.pandora.net/on/demandware.static/-/Sites-pandora-master-catalog/default/dwbb259ca6/productimages/singlepackshot/",LEFT(A599,FIND("-",A599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600" spans="1:4" x14ac:dyDescent="0.25">
      <c r="A600" s="3" t="s">
        <v>602</v>
      </c>
      <c r="B600" s="4">
        <v>109</v>
      </c>
      <c r="C600" s="3" t="str">
        <f ca="1">IFERROR(ROWSDUMMYFUNCTION(IF(A600="","",IFERROR(IMAGE(CONCATENATE("https://us.pandora.net/on/demandware.static/-/Sites-pandora-master-catalog/default/dwbb259ca6/productimages/singlepackshot/",LEFT(A600,FIND("-",A600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600" s="5" t="str">
        <f ca="1">IFERROR(ROWSDUMMYFUNCTION(IF(A600="","",CONCATENATE("https://us.pandora.net/on/demandware.static/-/Sites-pandora-master-catalog/default/dwbb259ca6/productimages/singlepackshot/",LEFT(A600,FIND("-",A600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601" spans="1:4" x14ac:dyDescent="0.25">
      <c r="A601" s="3" t="s">
        <v>603</v>
      </c>
      <c r="B601" s="4">
        <v>109</v>
      </c>
      <c r="C601" s="3" t="str">
        <f ca="1">IFERROR(ROWSDUMMYFUNCTION(IF(A601="","",IFERROR(IMAGE(CONCATENATE("https://us.pandora.net/on/demandware.static/-/Sites-pandora-master-catalog/default/dwbb259ca6/productimages/singlepackshot/",LEFT(A601,FIND("-",A601&amp;"-")-1),"_RGB.png")),""))),"{""url"":""https://us.pandora.net/on/demandware.static/-/Sites-pandora-master-catalog/default/dwbb259ca6/productimages/singlepackshot/180050C01_RGB.png"",""mode"":1}")</f>
        <v>{"url":"https://us.pandora.net/on/demandware.static/-/Sites-pandora-master-catalog/default/dwbb259ca6/productimages/singlepackshot/180050C01_RGB.png","mode":1}</v>
      </c>
      <c r="D601" s="5" t="str">
        <f ca="1">IFERROR(ROWSDUMMYFUNCTION(IF(A601="","",CONCATENATE("https://us.pandora.net/on/demandware.static/-/Sites-pandora-master-catalog/default/dwbb259ca6/productimages/singlepackshot/",LEFT(A601,FIND("-",A601&amp;"-")-1),"_RGB.png"))),"https://us.pandora.net/on/demandware.static/-/Sites-pandora-master-catalog/default/dwbb259ca6/productimages/singlepackshot/180050C01_RGB.png")</f>
        <v>https://us.pandora.net/on/demandware.static/-/Sites-pandora-master-catalog/default/dwbb259ca6/productimages/singlepackshot/180050C01_RGB.png</v>
      </c>
    </row>
    <row r="602" spans="1:4" x14ac:dyDescent="0.25">
      <c r="A602" s="3" t="s">
        <v>604</v>
      </c>
      <c r="B602" s="4">
        <v>99</v>
      </c>
      <c r="C602" s="3" t="str">
        <f ca="1">IFERROR(ROWSDUMMYFUNCTION(IF(A602="","",IFERROR(IMAGE(CONCATENATE("https://us.pandora.net/on/demandware.static/-/Sites-pandora-master-catalog/default/dwbb259ca6/productimages/singlepackshot/",LEFT(A602,FIND("-",A602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2" s="5" t="str">
        <f ca="1">IFERROR(ROWSDUMMYFUNCTION(IF(A602="","",CONCATENATE("https://us.pandora.net/on/demandware.static/-/Sites-pandora-master-catalog/default/dwbb259ca6/productimages/singlepackshot/",LEFT(A602,FIND("-",A602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3" spans="1:4" x14ac:dyDescent="0.25">
      <c r="A603" s="3" t="s">
        <v>605</v>
      </c>
      <c r="B603" s="4">
        <v>99</v>
      </c>
      <c r="C603" s="3" t="str">
        <f ca="1">IFERROR(ROWSDUMMYFUNCTION(IF(A603="","",IFERROR(IMAGE(CONCATENATE("https://us.pandora.net/on/demandware.static/-/Sites-pandora-master-catalog/default/dwbb259ca6/productimages/singlepackshot/",LEFT(A603,FIND("-",A603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3" s="5" t="str">
        <f ca="1">IFERROR(ROWSDUMMYFUNCTION(IF(A603="","",CONCATENATE("https://us.pandora.net/on/demandware.static/-/Sites-pandora-master-catalog/default/dwbb259ca6/productimages/singlepackshot/",LEFT(A603,FIND("-",A603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4" spans="1:4" x14ac:dyDescent="0.25">
      <c r="A604" s="3" t="s">
        <v>606</v>
      </c>
      <c r="B604" s="4">
        <v>99</v>
      </c>
      <c r="C604" s="3" t="str">
        <f ca="1">IFERROR(ROWSDUMMYFUNCTION(IF(A604="","",IFERROR(IMAGE(CONCATENATE("https://us.pandora.net/on/demandware.static/-/Sites-pandora-master-catalog/default/dwbb259ca6/productimages/singlepackshot/",LEFT(A604,FIND("-",A604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4" s="5" t="str">
        <f ca="1">IFERROR(ROWSDUMMYFUNCTION(IF(A604="","",CONCATENATE("https://us.pandora.net/on/demandware.static/-/Sites-pandora-master-catalog/default/dwbb259ca6/productimages/singlepackshot/",LEFT(A604,FIND("-",A604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5" spans="1:4" x14ac:dyDescent="0.25">
      <c r="A605" s="3" t="s">
        <v>607</v>
      </c>
      <c r="B605" s="4">
        <v>99</v>
      </c>
      <c r="C605" s="3" t="str">
        <f ca="1">IFERROR(ROWSDUMMYFUNCTION(IF(A605="","",IFERROR(IMAGE(CONCATENATE("https://us.pandora.net/on/demandware.static/-/Sites-pandora-master-catalog/default/dwbb259ca6/productimages/singlepackshot/",LEFT(A605,FIND("-",A605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5" s="5" t="str">
        <f ca="1">IFERROR(ROWSDUMMYFUNCTION(IF(A605="","",CONCATENATE("https://us.pandora.net/on/demandware.static/-/Sites-pandora-master-catalog/default/dwbb259ca6/productimages/singlepackshot/",LEFT(A605,FIND("-",A605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6" spans="1:4" x14ac:dyDescent="0.25">
      <c r="A606" s="3" t="s">
        <v>608</v>
      </c>
      <c r="B606" s="4">
        <v>99</v>
      </c>
      <c r="C606" s="3" t="str">
        <f ca="1">IFERROR(ROWSDUMMYFUNCTION(IF(A606="","",IFERROR(IMAGE(CONCATENATE("https://us.pandora.net/on/demandware.static/-/Sites-pandora-master-catalog/default/dwbb259ca6/productimages/singlepackshot/",LEFT(A606,FIND("-",A606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6" s="5" t="str">
        <f ca="1">IFERROR(ROWSDUMMYFUNCTION(IF(A606="","",CONCATENATE("https://us.pandora.net/on/demandware.static/-/Sites-pandora-master-catalog/default/dwbb259ca6/productimages/singlepackshot/",LEFT(A606,FIND("-",A606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7" spans="1:4" x14ac:dyDescent="0.25">
      <c r="A607" s="3" t="s">
        <v>609</v>
      </c>
      <c r="B607" s="4">
        <v>99</v>
      </c>
      <c r="C607" s="3" t="str">
        <f ca="1">IFERROR(ROWSDUMMYFUNCTION(IF(A607="","",IFERROR(IMAGE(CONCATENATE("https://us.pandora.net/on/demandware.static/-/Sites-pandora-master-catalog/default/dwbb259ca6/productimages/singlepackshot/",LEFT(A607,FIND("-",A607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7" s="5" t="str">
        <f ca="1">IFERROR(ROWSDUMMYFUNCTION(IF(A607="","",CONCATENATE("https://us.pandora.net/on/demandware.static/-/Sites-pandora-master-catalog/default/dwbb259ca6/productimages/singlepackshot/",LEFT(A607,FIND("-",A607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8" spans="1:4" x14ac:dyDescent="0.25">
      <c r="A608" s="3" t="s">
        <v>610</v>
      </c>
      <c r="B608" s="4">
        <v>99</v>
      </c>
      <c r="C608" s="3" t="str">
        <f ca="1">IFERROR(ROWSDUMMYFUNCTION(IF(A608="","",IFERROR(IMAGE(CONCATENATE("https://us.pandora.net/on/demandware.static/-/Sites-pandora-master-catalog/default/dwbb259ca6/productimages/singlepackshot/",LEFT(A608,FIND("-",A608&amp;"-")-1),"_RGB.png")),""))),"{""url"":""https://us.pandora.net/on/demandware.static/-/Sites-pandora-master-catalog/default/dwbb259ca6/productimages/singlepackshot/180050C02_RGB.png"",""mode"":1}")</f>
        <v>{"url":"https://us.pandora.net/on/demandware.static/-/Sites-pandora-master-catalog/default/dwbb259ca6/productimages/singlepackshot/180050C02_RGB.png","mode":1}</v>
      </c>
      <c r="D608" s="5" t="str">
        <f ca="1">IFERROR(ROWSDUMMYFUNCTION(IF(A608="","",CONCATENATE("https://us.pandora.net/on/demandware.static/-/Sites-pandora-master-catalog/default/dwbb259ca6/productimages/singlepackshot/",LEFT(A608,FIND("-",A608&amp;"-")-1),"_RGB.png"))),"https://us.pandora.net/on/demandware.static/-/Sites-pandora-master-catalog/default/dwbb259ca6/productimages/singlepackshot/180050C02_RGB.png")</f>
        <v>https://us.pandora.net/on/demandware.static/-/Sites-pandora-master-catalog/default/dwbb259ca6/productimages/singlepackshot/180050C02_RGB.png</v>
      </c>
    </row>
    <row r="609" spans="1:4" x14ac:dyDescent="0.25">
      <c r="A609" s="3" t="s">
        <v>611</v>
      </c>
      <c r="B609" s="4">
        <v>129</v>
      </c>
      <c r="C609" s="3" t="str">
        <f ca="1">IFERROR(ROWSDUMMYFUNCTION(IF(A609="","",IFERROR(IMAGE(CONCATENATE("https://us.pandora.net/on/demandware.static/-/Sites-pandora-master-catalog/default/dwbb259ca6/productimages/singlepackshot/",LEFT(A609,FIND("-",A609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09" s="5" t="str">
        <f ca="1">IFERROR(ROWSDUMMYFUNCTION(IF(A609="","",CONCATENATE("https://us.pandora.net/on/demandware.static/-/Sites-pandora-master-catalog/default/dwbb259ca6/productimages/singlepackshot/",LEFT(A609,FIND("-",A609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0" spans="1:4" x14ac:dyDescent="0.25">
      <c r="A610" s="3" t="s">
        <v>612</v>
      </c>
      <c r="B610" s="4">
        <v>129</v>
      </c>
      <c r="C610" s="3" t="str">
        <f ca="1">IFERROR(ROWSDUMMYFUNCTION(IF(A610="","",IFERROR(IMAGE(CONCATENATE("https://us.pandora.net/on/demandware.static/-/Sites-pandora-master-catalog/default/dwbb259ca6/productimages/singlepackshot/",LEFT(A610,FIND("-",A610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10" s="5" t="str">
        <f ca="1">IFERROR(ROWSDUMMYFUNCTION(IF(A610="","",CONCATENATE("https://us.pandora.net/on/demandware.static/-/Sites-pandora-master-catalog/default/dwbb259ca6/productimages/singlepackshot/",LEFT(A610,FIND("-",A610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1" spans="1:4" x14ac:dyDescent="0.25">
      <c r="A611" s="3" t="s">
        <v>613</v>
      </c>
      <c r="B611" s="4">
        <v>129</v>
      </c>
      <c r="C611" s="3" t="str">
        <f ca="1">IFERROR(ROWSDUMMYFUNCTION(IF(A611="","",IFERROR(IMAGE(CONCATENATE("https://us.pandora.net/on/demandware.static/-/Sites-pandora-master-catalog/default/dwbb259ca6/productimages/singlepackshot/",LEFT(A611,FIND("-",A611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11" s="5" t="str">
        <f ca="1">IFERROR(ROWSDUMMYFUNCTION(IF(A611="","",CONCATENATE("https://us.pandora.net/on/demandware.static/-/Sites-pandora-master-catalog/default/dwbb259ca6/productimages/singlepackshot/",LEFT(A611,FIND("-",A611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2" spans="1:4" x14ac:dyDescent="0.25">
      <c r="A612" s="3" t="s">
        <v>614</v>
      </c>
      <c r="B612" s="4">
        <v>129</v>
      </c>
      <c r="C612" s="3" t="str">
        <f ca="1">IFERROR(ROWSDUMMYFUNCTION(IF(A612="","",IFERROR(IMAGE(CONCATENATE("https://us.pandora.net/on/demandware.static/-/Sites-pandora-master-catalog/default/dwbb259ca6/productimages/singlepackshot/",LEFT(A612,FIND("-",A612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12" s="5" t="str">
        <f ca="1">IFERROR(ROWSDUMMYFUNCTION(IF(A612="","",CONCATENATE("https://us.pandora.net/on/demandware.static/-/Sites-pandora-master-catalog/default/dwbb259ca6/productimages/singlepackshot/",LEFT(A612,FIND("-",A612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3" spans="1:4" x14ac:dyDescent="0.25">
      <c r="A613" s="3" t="s">
        <v>615</v>
      </c>
      <c r="B613" s="4">
        <v>129</v>
      </c>
      <c r="C613" s="3" t="str">
        <f ca="1">IFERROR(ROWSDUMMYFUNCTION(IF(A613="","",IFERROR(IMAGE(CONCATENATE("https://us.pandora.net/on/demandware.static/-/Sites-pandora-master-catalog/default/dwbb259ca6/productimages/singlepackshot/",LEFT(A613,FIND("-",A613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13" s="5" t="str">
        <f ca="1">IFERROR(ROWSDUMMYFUNCTION(IF(A613="","",CONCATENATE("https://us.pandora.net/on/demandware.static/-/Sites-pandora-master-catalog/default/dwbb259ca6/productimages/singlepackshot/",LEFT(A613,FIND("-",A613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4" spans="1:4" x14ac:dyDescent="0.25">
      <c r="A614" s="3" t="s">
        <v>616</v>
      </c>
      <c r="B614" s="4">
        <v>129</v>
      </c>
      <c r="C614" s="3" t="str">
        <f ca="1">IFERROR(ROWSDUMMYFUNCTION(IF(A614="","",IFERROR(IMAGE(CONCATENATE("https://us.pandora.net/on/demandware.static/-/Sites-pandora-master-catalog/default/dwbb259ca6/productimages/singlepackshot/",LEFT(A614,FIND("-",A614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14" s="5" t="str">
        <f ca="1">IFERROR(ROWSDUMMYFUNCTION(IF(A614="","",CONCATENATE("https://us.pandora.net/on/demandware.static/-/Sites-pandora-master-catalog/default/dwbb259ca6/productimages/singlepackshot/",LEFT(A614,FIND("-",A614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5" spans="1:4" x14ac:dyDescent="0.25">
      <c r="A615" s="3" t="s">
        <v>617</v>
      </c>
      <c r="B615" s="4">
        <v>129</v>
      </c>
      <c r="C615" s="3" t="str">
        <f ca="1">IFERROR(ROWSDUMMYFUNCTION(IF(A615="","",IFERROR(IMAGE(CONCATENATE("https://us.pandora.net/on/demandware.static/-/Sites-pandora-master-catalog/default/dwbb259ca6/productimages/singlepackshot/",LEFT(A615,FIND("-",A615&amp;"-")-1),"_RGB.png")),""))),"{""url"":""https://us.pandora.net/on/demandware.static/-/Sites-pandora-master-catalog/default/dwbb259ca6/productimages/singlepackshot/180892CZ_RGB.png"",""mode"":1}")</f>
        <v>{"url":"https://us.pandora.net/on/demandware.static/-/Sites-pandora-master-catalog/default/dwbb259ca6/productimages/singlepackshot/180892CZ_RGB.png","mode":1}</v>
      </c>
      <c r="D615" s="5" t="str">
        <f ca="1">IFERROR(ROWSDUMMYFUNCTION(IF(A615="","",CONCATENATE("https://us.pandora.net/on/demandware.static/-/Sites-pandora-master-catalog/default/dwbb259ca6/productimages/singlepackshot/",LEFT(A615,FIND("-",A615&amp;"-")-1),"_RGB.png"))),"https://us.pandora.net/on/demandware.static/-/Sites-pandora-master-catalog/default/dwbb259ca6/productimages/singlepackshot/180892CZ_RGB.png")</f>
        <v>https://us.pandora.net/on/demandware.static/-/Sites-pandora-master-catalog/default/dwbb259ca6/productimages/singlepackshot/180892CZ_RGB.png</v>
      </c>
    </row>
    <row r="616" spans="1:4" x14ac:dyDescent="0.25">
      <c r="A616" s="3" t="s">
        <v>618</v>
      </c>
      <c r="B616" s="4">
        <v>179</v>
      </c>
      <c r="C616" s="3" t="str">
        <f ca="1">IFERROR(ROWSDUMMYFUNCTION(IF(A616="","",IFERROR(IMAGE(CONCATENATE("https://us.pandora.net/on/demandware.static/-/Sites-pandora-master-catalog/default/dwbb259ca6/productimages/singlepackshot/",LEFT(A616,FIND("-",A616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16" s="5" t="str">
        <f ca="1">IFERROR(ROWSDUMMYFUNCTION(IF(A616="","",CONCATENATE("https://us.pandora.net/on/demandware.static/-/Sites-pandora-master-catalog/default/dwbb259ca6/productimages/singlepackshot/",LEFT(A616,FIND("-",A616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17" spans="1:4" x14ac:dyDescent="0.25">
      <c r="A617" s="3" t="s">
        <v>619</v>
      </c>
      <c r="B617" s="4">
        <v>179</v>
      </c>
      <c r="C617" s="3" t="str">
        <f ca="1">IFERROR(ROWSDUMMYFUNCTION(IF(A617="","",IFERROR(IMAGE(CONCATENATE("https://us.pandora.net/on/demandware.static/-/Sites-pandora-master-catalog/default/dwbb259ca6/productimages/singlepackshot/",LEFT(A617,FIND("-",A617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17" s="5" t="str">
        <f ca="1">IFERROR(ROWSDUMMYFUNCTION(IF(A617="","",CONCATENATE("https://us.pandora.net/on/demandware.static/-/Sites-pandora-master-catalog/default/dwbb259ca6/productimages/singlepackshot/",LEFT(A617,FIND("-",A617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18" spans="1:4" x14ac:dyDescent="0.25">
      <c r="A618" s="3" t="s">
        <v>620</v>
      </c>
      <c r="B618" s="4">
        <v>179</v>
      </c>
      <c r="C618" s="3" t="str">
        <f ca="1">IFERROR(ROWSDUMMYFUNCTION(IF(A618="","",IFERROR(IMAGE(CONCATENATE("https://us.pandora.net/on/demandware.static/-/Sites-pandora-master-catalog/default/dwbb259ca6/productimages/singlepackshot/",LEFT(A618,FIND("-",A618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18" s="5" t="str">
        <f ca="1">IFERROR(ROWSDUMMYFUNCTION(IF(A618="","",CONCATENATE("https://us.pandora.net/on/demandware.static/-/Sites-pandora-master-catalog/default/dwbb259ca6/productimages/singlepackshot/",LEFT(A618,FIND("-",A618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19" spans="1:4" x14ac:dyDescent="0.25">
      <c r="A619" s="3" t="s">
        <v>621</v>
      </c>
      <c r="B619" s="4">
        <v>179</v>
      </c>
      <c r="C619" s="3" t="str">
        <f ca="1">IFERROR(ROWSDUMMYFUNCTION(IF(A619="","",IFERROR(IMAGE(CONCATENATE("https://us.pandora.net/on/demandware.static/-/Sites-pandora-master-catalog/default/dwbb259ca6/productimages/singlepackshot/",LEFT(A619,FIND("-",A619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19" s="5" t="str">
        <f ca="1">IFERROR(ROWSDUMMYFUNCTION(IF(A619="","",CONCATENATE("https://us.pandora.net/on/demandware.static/-/Sites-pandora-master-catalog/default/dwbb259ca6/productimages/singlepackshot/",LEFT(A619,FIND("-",A619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20" spans="1:4" x14ac:dyDescent="0.25">
      <c r="A620" s="3" t="s">
        <v>622</v>
      </c>
      <c r="B620" s="4">
        <v>179</v>
      </c>
      <c r="C620" s="3" t="str">
        <f ca="1">IFERROR(ROWSDUMMYFUNCTION(IF(A620="","",IFERROR(IMAGE(CONCATENATE("https://us.pandora.net/on/demandware.static/-/Sites-pandora-master-catalog/default/dwbb259ca6/productimages/singlepackshot/",LEFT(A620,FIND("-",A620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20" s="5" t="str">
        <f ca="1">IFERROR(ROWSDUMMYFUNCTION(IF(A620="","",CONCATENATE("https://us.pandora.net/on/demandware.static/-/Sites-pandora-master-catalog/default/dwbb259ca6/productimages/singlepackshot/",LEFT(A620,FIND("-",A620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21" spans="1:4" x14ac:dyDescent="0.25">
      <c r="A621" s="3" t="s">
        <v>623</v>
      </c>
      <c r="B621" s="4">
        <v>179</v>
      </c>
      <c r="C621" s="3" t="str">
        <f ca="1">IFERROR(ROWSDUMMYFUNCTION(IF(A621="","",IFERROR(IMAGE(CONCATENATE("https://us.pandora.net/on/demandware.static/-/Sites-pandora-master-catalog/default/dwbb259ca6/productimages/singlepackshot/",LEFT(A621,FIND("-",A621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21" s="5" t="str">
        <f ca="1">IFERROR(ROWSDUMMYFUNCTION(IF(A621="","",CONCATENATE("https://us.pandora.net/on/demandware.static/-/Sites-pandora-master-catalog/default/dwbb259ca6/productimages/singlepackshot/",LEFT(A621,FIND("-",A621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22" spans="1:4" x14ac:dyDescent="0.25">
      <c r="A622" s="3" t="s">
        <v>624</v>
      </c>
      <c r="B622" s="4">
        <v>179</v>
      </c>
      <c r="C622" s="3" t="str">
        <f ca="1">IFERROR(ROWSDUMMYFUNCTION(IF(A622="","",IFERROR(IMAGE(CONCATENATE("https://us.pandora.net/on/demandware.static/-/Sites-pandora-master-catalog/default/dwbb259ca6/productimages/singlepackshot/",LEFT(A622,FIND("-",A622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22" s="5" t="str">
        <f ca="1">IFERROR(ROWSDUMMYFUNCTION(IF(A622="","",CONCATENATE("https://us.pandora.net/on/demandware.static/-/Sites-pandora-master-catalog/default/dwbb259ca6/productimages/singlepackshot/",LEFT(A622,FIND("-",A622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23" spans="1:4" x14ac:dyDescent="0.25">
      <c r="A623" s="3" t="s">
        <v>625</v>
      </c>
      <c r="B623" s="4">
        <v>179</v>
      </c>
      <c r="C623" s="3" t="str">
        <f ca="1">IFERROR(ROWSDUMMYFUNCTION(IF(A623="","",IFERROR(IMAGE(CONCATENATE("https://us.pandora.net/on/demandware.static/-/Sites-pandora-master-catalog/default/dwbb259ca6/productimages/singlepackshot/",LEFT(A623,FIND("-",A623&amp;"-")-1),"_RGB.png")),""))),"{""url"":""https://us.pandora.net/on/demandware.static/-/Sites-pandora-master-catalog/default/dwbb259ca6/productimages/singlepackshot/180919CZ_RGB.png"",""mode"":1}")</f>
        <v>{"url":"https://us.pandora.net/on/demandware.static/-/Sites-pandora-master-catalog/default/dwbb259ca6/productimages/singlepackshot/180919CZ_RGB.png","mode":1}</v>
      </c>
      <c r="D623" s="5" t="str">
        <f ca="1">IFERROR(ROWSDUMMYFUNCTION(IF(A623="","",CONCATENATE("https://us.pandora.net/on/demandware.static/-/Sites-pandora-master-catalog/default/dwbb259ca6/productimages/singlepackshot/",LEFT(A623,FIND("-",A623&amp;"-")-1),"_RGB.png"))),"https://us.pandora.net/on/demandware.static/-/Sites-pandora-master-catalog/default/dwbb259ca6/productimages/singlepackshot/180919CZ_RGB.png")</f>
        <v>https://us.pandora.net/on/demandware.static/-/Sites-pandora-master-catalog/default/dwbb259ca6/productimages/singlepackshot/180919CZ_RGB.png</v>
      </c>
    </row>
    <row r="624" spans="1:4" x14ac:dyDescent="0.25">
      <c r="A624" s="3" t="s">
        <v>626</v>
      </c>
      <c r="B624" s="4">
        <v>99</v>
      </c>
      <c r="C624" s="3" t="str">
        <f ca="1">IFERROR(ROWSDUMMYFUNCTION(IF(A624="","",IFERROR(IMAGE(CONCATENATE("https://us.pandora.net/on/demandware.static/-/Sites-pandora-master-catalog/default/dwbb259ca6/productimages/singlepackshot/",LEFT(A624,FIND("-",A624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24" s="5" t="str">
        <f ca="1">IFERROR(ROWSDUMMYFUNCTION(IF(A624="","",CONCATENATE("https://us.pandora.net/on/demandware.static/-/Sites-pandora-master-catalog/default/dwbb259ca6/productimages/singlepackshot/",LEFT(A624,FIND("-",A624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25" spans="1:4" x14ac:dyDescent="0.25">
      <c r="A625" s="3" t="s">
        <v>627</v>
      </c>
      <c r="B625" s="4">
        <v>99</v>
      </c>
      <c r="C625" s="3" t="str">
        <f ca="1">IFERROR(ROWSDUMMYFUNCTION(IF(A625="","",IFERROR(IMAGE(CONCATENATE("https://us.pandora.net/on/demandware.static/-/Sites-pandora-master-catalog/default/dwbb259ca6/productimages/singlepackshot/",LEFT(A625,FIND("-",A625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25" s="5" t="str">
        <f ca="1">IFERROR(ROWSDUMMYFUNCTION(IF(A625="","",CONCATENATE("https://us.pandora.net/on/demandware.static/-/Sites-pandora-master-catalog/default/dwbb259ca6/productimages/singlepackshot/",LEFT(A625,FIND("-",A625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26" spans="1:4" x14ac:dyDescent="0.25">
      <c r="A626" s="3" t="s">
        <v>628</v>
      </c>
      <c r="B626" s="4">
        <v>99</v>
      </c>
      <c r="C626" s="3" t="str">
        <f ca="1">IFERROR(ROWSDUMMYFUNCTION(IF(A626="","",IFERROR(IMAGE(CONCATENATE("https://us.pandora.net/on/demandware.static/-/Sites-pandora-master-catalog/default/dwbb259ca6/productimages/singlepackshot/",LEFT(A626,FIND("-",A626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26" s="5" t="str">
        <f ca="1">IFERROR(ROWSDUMMYFUNCTION(IF(A626="","",CONCATENATE("https://us.pandora.net/on/demandware.static/-/Sites-pandora-master-catalog/default/dwbb259ca6/productimages/singlepackshot/",LEFT(A626,FIND("-",A626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27" spans="1:4" x14ac:dyDescent="0.25">
      <c r="A627" s="3" t="s">
        <v>629</v>
      </c>
      <c r="B627" s="4">
        <v>99</v>
      </c>
      <c r="C627" s="3" t="str">
        <f ca="1">IFERROR(ROWSDUMMYFUNCTION(IF(A627="","",IFERROR(IMAGE(CONCATENATE("https://us.pandora.net/on/demandware.static/-/Sites-pandora-master-catalog/default/dwbb259ca6/productimages/singlepackshot/",LEFT(A627,FIND("-",A627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27" s="5" t="str">
        <f ca="1">IFERROR(ROWSDUMMYFUNCTION(IF(A627="","",CONCATENATE("https://us.pandora.net/on/demandware.static/-/Sites-pandora-master-catalog/default/dwbb259ca6/productimages/singlepackshot/",LEFT(A627,FIND("-",A627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28" spans="1:4" x14ac:dyDescent="0.25">
      <c r="A628" s="3" t="s">
        <v>630</v>
      </c>
      <c r="B628" s="4">
        <v>99</v>
      </c>
      <c r="C628" s="3" t="str">
        <f ca="1">IFERROR(ROWSDUMMYFUNCTION(IF(A628="","",IFERROR(IMAGE(CONCATENATE("https://us.pandora.net/on/demandware.static/-/Sites-pandora-master-catalog/default/dwbb259ca6/productimages/singlepackshot/",LEFT(A628,FIND("-",A628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28" s="5" t="str">
        <f ca="1">IFERROR(ROWSDUMMYFUNCTION(IF(A628="","",CONCATENATE("https://us.pandora.net/on/demandware.static/-/Sites-pandora-master-catalog/default/dwbb259ca6/productimages/singlepackshot/",LEFT(A628,FIND("-",A628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29" spans="1:4" x14ac:dyDescent="0.25">
      <c r="A629" s="3" t="s">
        <v>631</v>
      </c>
      <c r="B629" s="4">
        <v>99</v>
      </c>
      <c r="C629" s="3" t="str">
        <f ca="1">IFERROR(ROWSDUMMYFUNCTION(IF(A629="","",IFERROR(IMAGE(CONCATENATE("https://us.pandora.net/on/demandware.static/-/Sites-pandora-master-catalog/default/dwbb259ca6/productimages/singlepackshot/",LEFT(A629,FIND("-",A629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29" s="5" t="str">
        <f ca="1">IFERROR(ROWSDUMMYFUNCTION(IF(A629="","",CONCATENATE("https://us.pandora.net/on/demandware.static/-/Sites-pandora-master-catalog/default/dwbb259ca6/productimages/singlepackshot/",LEFT(A629,FIND("-",A629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30" spans="1:4" x14ac:dyDescent="0.25">
      <c r="A630" s="3" t="s">
        <v>632</v>
      </c>
      <c r="B630" s="4">
        <v>99</v>
      </c>
      <c r="C630" s="3" t="str">
        <f ca="1">IFERROR(ROWSDUMMYFUNCTION(IF(A630="","",IFERROR(IMAGE(CONCATENATE("https://us.pandora.net/on/demandware.static/-/Sites-pandora-master-catalog/default/dwbb259ca6/productimages/singlepackshot/",LEFT(A630,FIND("-",A630&amp;"-")-1),"_RGB.png")),""))),"{""url"":""https://us.pandora.net/on/demandware.static/-/Sites-pandora-master-catalog/default/dwbb259ca6/productimages/singlepackshot/180963CZ_RGB.png"",""mode"":1}")</f>
        <v>{"url":"https://us.pandora.net/on/demandware.static/-/Sites-pandora-master-catalog/default/dwbb259ca6/productimages/singlepackshot/180963CZ_RGB.png","mode":1}</v>
      </c>
      <c r="D630" s="5" t="str">
        <f ca="1">IFERROR(ROWSDUMMYFUNCTION(IF(A630="","",CONCATENATE("https://us.pandora.net/on/demandware.static/-/Sites-pandora-master-catalog/default/dwbb259ca6/productimages/singlepackshot/",LEFT(A630,FIND("-",A630&amp;"-")-1),"_RGB.png"))),"https://us.pandora.net/on/demandware.static/-/Sites-pandora-master-catalog/default/dwbb259ca6/productimages/singlepackshot/180963CZ_RGB.png")</f>
        <v>https://us.pandora.net/on/demandware.static/-/Sites-pandora-master-catalog/default/dwbb259ca6/productimages/singlepackshot/180963CZ_RGB.png</v>
      </c>
    </row>
    <row r="631" spans="1:4" x14ac:dyDescent="0.25">
      <c r="A631" s="3" t="s">
        <v>633</v>
      </c>
      <c r="B631" s="4">
        <v>89</v>
      </c>
      <c r="C631" s="3" t="str">
        <f ca="1">IFERROR(ROWSDUMMYFUNCTION(IF(A631="","",IFERROR(IMAGE(CONCATENATE("https://us.pandora.net/on/demandware.static/-/Sites-pandora-master-catalog/default/dwbb259ca6/productimages/singlepackshot/",LEFT(A631,FIND("-",A631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1" s="5" t="str">
        <f ca="1">IFERROR(ROWSDUMMYFUNCTION(IF(A631="","",CONCATENATE("https://us.pandora.net/on/demandware.static/-/Sites-pandora-master-catalog/default/dwbb259ca6/productimages/singlepackshot/",LEFT(A631,FIND("-",A631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2" spans="1:4" x14ac:dyDescent="0.25">
      <c r="A632" s="3" t="s">
        <v>634</v>
      </c>
      <c r="B632" s="4">
        <v>89</v>
      </c>
      <c r="C632" s="3" t="str">
        <f ca="1">IFERROR(ROWSDUMMYFUNCTION(IF(A632="","",IFERROR(IMAGE(CONCATENATE("https://us.pandora.net/on/demandware.static/-/Sites-pandora-master-catalog/default/dwbb259ca6/productimages/singlepackshot/",LEFT(A632,FIND("-",A632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2" s="5" t="str">
        <f ca="1">IFERROR(ROWSDUMMYFUNCTION(IF(A632="","",CONCATENATE("https://us.pandora.net/on/demandware.static/-/Sites-pandora-master-catalog/default/dwbb259ca6/productimages/singlepackshot/",LEFT(A632,FIND("-",A632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3" spans="1:4" x14ac:dyDescent="0.25">
      <c r="A633" s="3" t="s">
        <v>635</v>
      </c>
      <c r="B633" s="4">
        <v>89</v>
      </c>
      <c r="C633" s="3" t="str">
        <f ca="1">IFERROR(ROWSDUMMYFUNCTION(IF(A633="","",IFERROR(IMAGE(CONCATENATE("https://us.pandora.net/on/demandware.static/-/Sites-pandora-master-catalog/default/dwbb259ca6/productimages/singlepackshot/",LEFT(A633,FIND("-",A633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3" s="5" t="str">
        <f ca="1">IFERROR(ROWSDUMMYFUNCTION(IF(A633="","",CONCATENATE("https://us.pandora.net/on/demandware.static/-/Sites-pandora-master-catalog/default/dwbb259ca6/productimages/singlepackshot/",LEFT(A633,FIND("-",A633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4" spans="1:4" x14ac:dyDescent="0.25">
      <c r="A634" s="3" t="s">
        <v>636</v>
      </c>
      <c r="B634" s="4">
        <v>89</v>
      </c>
      <c r="C634" s="3" t="str">
        <f ca="1">IFERROR(ROWSDUMMYFUNCTION(IF(A634="","",IFERROR(IMAGE(CONCATENATE("https://us.pandora.net/on/demandware.static/-/Sites-pandora-master-catalog/default/dwbb259ca6/productimages/singlepackshot/",LEFT(A634,FIND("-",A634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4" s="5" t="str">
        <f ca="1">IFERROR(ROWSDUMMYFUNCTION(IF(A634="","",CONCATENATE("https://us.pandora.net/on/demandware.static/-/Sites-pandora-master-catalog/default/dwbb259ca6/productimages/singlepackshot/",LEFT(A634,FIND("-",A634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5" spans="1:4" x14ac:dyDescent="0.25">
      <c r="A635" s="3" t="s">
        <v>637</v>
      </c>
      <c r="B635" s="4">
        <v>89</v>
      </c>
      <c r="C635" s="3" t="str">
        <f ca="1">IFERROR(ROWSDUMMYFUNCTION(IF(A635="","",IFERROR(IMAGE(CONCATENATE("https://us.pandora.net/on/demandware.static/-/Sites-pandora-master-catalog/default/dwbb259ca6/productimages/singlepackshot/",LEFT(A635,FIND("-",A635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5" s="5" t="str">
        <f ca="1">IFERROR(ROWSDUMMYFUNCTION(IF(A635="","",CONCATENATE("https://us.pandora.net/on/demandware.static/-/Sites-pandora-master-catalog/default/dwbb259ca6/productimages/singlepackshot/",LEFT(A635,FIND("-",A635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6" spans="1:4" x14ac:dyDescent="0.25">
      <c r="A636" s="3" t="s">
        <v>638</v>
      </c>
      <c r="B636" s="4">
        <v>89</v>
      </c>
      <c r="C636" s="3" t="str">
        <f ca="1">IFERROR(ROWSDUMMYFUNCTION(IF(A636="","",IFERROR(IMAGE(CONCATENATE("https://us.pandora.net/on/demandware.static/-/Sites-pandora-master-catalog/default/dwbb259ca6/productimages/singlepackshot/",LEFT(A636,FIND("-",A636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6" s="5" t="str">
        <f ca="1">IFERROR(ROWSDUMMYFUNCTION(IF(A636="","",CONCATENATE("https://us.pandora.net/on/demandware.static/-/Sites-pandora-master-catalog/default/dwbb259ca6/productimages/singlepackshot/",LEFT(A636,FIND("-",A636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7" spans="1:4" x14ac:dyDescent="0.25">
      <c r="A637" s="3" t="s">
        <v>639</v>
      </c>
      <c r="B637" s="4">
        <v>89</v>
      </c>
      <c r="C637" s="3" t="str">
        <f ca="1">IFERROR(ROWSDUMMYFUNCTION(IF(A637="","",IFERROR(IMAGE(CONCATENATE("https://us.pandora.net/on/demandware.static/-/Sites-pandora-master-catalog/default/dwbb259ca6/productimages/singlepackshot/",LEFT(A637,FIND("-",A637&amp;"-")-1),"_RGB.png")),""))),"{""url"":""https://us.pandora.net/on/demandware.static/-/Sites-pandora-master-catalog/default/dwbb259ca6/productimages/singlepackshot/182392C01_RGB.png"",""mode"":1}")</f>
        <v>{"url":"https://us.pandora.net/on/demandware.static/-/Sites-pandora-master-catalog/default/dwbb259ca6/productimages/singlepackshot/182392C01_RGB.png","mode":1}</v>
      </c>
      <c r="D637" s="5" t="str">
        <f ca="1">IFERROR(ROWSDUMMYFUNCTION(IF(A637="","",CONCATENATE("https://us.pandora.net/on/demandware.static/-/Sites-pandora-master-catalog/default/dwbb259ca6/productimages/singlepackshot/",LEFT(A637,FIND("-",A637&amp;"-")-1),"_RGB.png"))),"https://us.pandora.net/on/demandware.static/-/Sites-pandora-master-catalog/default/dwbb259ca6/productimages/singlepackshot/182392C01_RGB.png")</f>
        <v>https://us.pandora.net/on/demandware.static/-/Sites-pandora-master-catalog/default/dwbb259ca6/productimages/singlepackshot/182392C01_RGB.png</v>
      </c>
    </row>
    <row r="638" spans="1:4" x14ac:dyDescent="0.25">
      <c r="A638" s="3" t="s">
        <v>640</v>
      </c>
      <c r="B638" s="4">
        <v>49</v>
      </c>
      <c r="C638" s="3" t="str">
        <f ca="1">IFERROR(ROWSDUMMYFUNCTION(IF(A638="","",IFERROR(IMAGE(CONCATENATE("https://us.pandora.net/on/demandware.static/-/Sites-pandora-master-catalog/default/dwbb259ca6/productimages/singlepackshot/",LEFT(A638,FIND("-",A638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38" s="5" t="str">
        <f ca="1">IFERROR(ROWSDUMMYFUNCTION(IF(A638="","",CONCATENATE("https://us.pandora.net/on/demandware.static/-/Sites-pandora-master-catalog/default/dwbb259ca6/productimages/singlepackshot/",LEFT(A638,FIND("-",A638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39" spans="1:4" x14ac:dyDescent="0.25">
      <c r="A639" s="3" t="s">
        <v>641</v>
      </c>
      <c r="B639" s="4">
        <v>49</v>
      </c>
      <c r="C639" s="3" t="str">
        <f ca="1">IFERROR(ROWSDUMMYFUNCTION(IF(A639="","",IFERROR(IMAGE(CONCATENATE("https://us.pandora.net/on/demandware.static/-/Sites-pandora-master-catalog/default/dwbb259ca6/productimages/singlepackshot/",LEFT(A639,FIND("-",A639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39" s="5" t="str">
        <f ca="1">IFERROR(ROWSDUMMYFUNCTION(IF(A639="","",CONCATENATE("https://us.pandora.net/on/demandware.static/-/Sites-pandora-master-catalog/default/dwbb259ca6/productimages/singlepackshot/",LEFT(A639,FIND("-",A639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40" spans="1:4" x14ac:dyDescent="0.25">
      <c r="A640" s="3" t="s">
        <v>642</v>
      </c>
      <c r="B640" s="4">
        <v>49</v>
      </c>
      <c r="C640" s="3" t="str">
        <f ca="1">IFERROR(ROWSDUMMYFUNCTION(IF(A640="","",IFERROR(IMAGE(CONCATENATE("https://us.pandora.net/on/demandware.static/-/Sites-pandora-master-catalog/default/dwbb259ca6/productimages/singlepackshot/",LEFT(A640,FIND("-",A640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40" s="5" t="str">
        <f ca="1">IFERROR(ROWSDUMMYFUNCTION(IF(A640="","",CONCATENATE("https://us.pandora.net/on/demandware.static/-/Sites-pandora-master-catalog/default/dwbb259ca6/productimages/singlepackshot/",LEFT(A640,FIND("-",A640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41" spans="1:4" x14ac:dyDescent="0.25">
      <c r="A641" s="3" t="s">
        <v>643</v>
      </c>
      <c r="B641" s="4">
        <v>49</v>
      </c>
      <c r="C641" s="3" t="str">
        <f ca="1">IFERROR(ROWSDUMMYFUNCTION(IF(A641="","",IFERROR(IMAGE(CONCATENATE("https://us.pandora.net/on/demandware.static/-/Sites-pandora-master-catalog/default/dwbb259ca6/productimages/singlepackshot/",LEFT(A641,FIND("-",A641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41" s="5" t="str">
        <f ca="1">IFERROR(ROWSDUMMYFUNCTION(IF(A641="","",CONCATENATE("https://us.pandora.net/on/demandware.static/-/Sites-pandora-master-catalog/default/dwbb259ca6/productimages/singlepackshot/",LEFT(A641,FIND("-",A641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42" spans="1:4" x14ac:dyDescent="0.25">
      <c r="A642" s="3" t="s">
        <v>644</v>
      </c>
      <c r="B642" s="4">
        <v>49</v>
      </c>
      <c r="C642" s="3" t="str">
        <f ca="1">IFERROR(ROWSDUMMYFUNCTION(IF(A642="","",IFERROR(IMAGE(CONCATENATE("https://us.pandora.net/on/demandware.static/-/Sites-pandora-master-catalog/default/dwbb259ca6/productimages/singlepackshot/",LEFT(A642,FIND("-",A642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42" s="5" t="str">
        <f ca="1">IFERROR(ROWSDUMMYFUNCTION(IF(A642="","",CONCATENATE("https://us.pandora.net/on/demandware.static/-/Sites-pandora-master-catalog/default/dwbb259ca6/productimages/singlepackshot/",LEFT(A642,FIND("-",A642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43" spans="1:4" x14ac:dyDescent="0.25">
      <c r="A643" s="3" t="s">
        <v>645</v>
      </c>
      <c r="B643" s="4">
        <v>49</v>
      </c>
      <c r="C643" s="3" t="str">
        <f ca="1">IFERROR(ROWSDUMMYFUNCTION(IF(A643="","",IFERROR(IMAGE(CONCATENATE("https://us.pandora.net/on/demandware.static/-/Sites-pandora-master-catalog/default/dwbb259ca6/productimages/singlepackshot/",LEFT(A643,FIND("-",A643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43" s="5" t="str">
        <f ca="1">IFERROR(ROWSDUMMYFUNCTION(IF(A643="","",CONCATENATE("https://us.pandora.net/on/demandware.static/-/Sites-pandora-master-catalog/default/dwbb259ca6/productimages/singlepackshot/",LEFT(A643,FIND("-",A643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44" spans="1:4" x14ac:dyDescent="0.25">
      <c r="A644" s="3" t="s">
        <v>646</v>
      </c>
      <c r="B644" s="4">
        <v>49</v>
      </c>
      <c r="C644" s="3" t="str">
        <f ca="1">IFERROR(ROWSDUMMYFUNCTION(IF(A644="","",IFERROR(IMAGE(CONCATENATE("https://us.pandora.net/on/demandware.static/-/Sites-pandora-master-catalog/default/dwbb259ca6/productimages/singlepackshot/",LEFT(A644,FIND("-",A644&amp;"-")-1),"_RGB.png")),""))),"{""url"":""https://us.pandora.net/on/demandware.static/-/Sites-pandora-master-catalog/default/dwbb259ca6/productimages/singlepackshot/182495C01_RGB.png"",""mode"":1}")</f>
        <v>{"url":"https://us.pandora.net/on/demandware.static/-/Sites-pandora-master-catalog/default/dwbb259ca6/productimages/singlepackshot/182495C01_RGB.png","mode":1}</v>
      </c>
      <c r="D644" s="5" t="str">
        <f ca="1">IFERROR(ROWSDUMMYFUNCTION(IF(A644="","",CONCATENATE("https://us.pandora.net/on/demandware.static/-/Sites-pandora-master-catalog/default/dwbb259ca6/productimages/singlepackshot/",LEFT(A644,FIND("-",A644&amp;"-")-1),"_RGB.png"))),"https://us.pandora.net/on/demandware.static/-/Sites-pandora-master-catalog/default/dwbb259ca6/productimages/singlepackshot/182495C01_RGB.png")</f>
        <v>https://us.pandora.net/on/demandware.static/-/Sites-pandora-master-catalog/default/dwbb259ca6/productimages/singlepackshot/182495C01_RGB.png</v>
      </c>
    </row>
    <row r="645" spans="1:4" x14ac:dyDescent="0.25">
      <c r="A645" s="3" t="s">
        <v>647</v>
      </c>
      <c r="B645" s="4">
        <v>59</v>
      </c>
      <c r="C645" s="3" t="str">
        <f ca="1">IFERROR(ROWSDUMMYFUNCTION(IF(A645="","",IFERROR(IMAGE(CONCATENATE("https://us.pandora.net/on/demandware.static/-/Sites-pandora-master-catalog/default/dwbb259ca6/productimages/singlepackshot/",LEFT(A645,FIND("-",A645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45" s="5" t="str">
        <f ca="1">IFERROR(ROWSDUMMYFUNCTION(IF(A645="","",CONCATENATE("https://us.pandora.net/on/demandware.static/-/Sites-pandora-master-catalog/default/dwbb259ca6/productimages/singlepackshot/",LEFT(A645,FIND("-",A645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46" spans="1:4" x14ac:dyDescent="0.25">
      <c r="A646" s="3" t="s">
        <v>648</v>
      </c>
      <c r="B646" s="4">
        <v>59</v>
      </c>
      <c r="C646" s="3" t="str">
        <f ca="1">IFERROR(ROWSDUMMYFUNCTION(IF(A646="","",IFERROR(IMAGE(CONCATENATE("https://us.pandora.net/on/demandware.static/-/Sites-pandora-master-catalog/default/dwbb259ca6/productimages/singlepackshot/",LEFT(A646,FIND("-",A646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46" s="5" t="str">
        <f ca="1">IFERROR(ROWSDUMMYFUNCTION(IF(A646="","",CONCATENATE("https://us.pandora.net/on/demandware.static/-/Sites-pandora-master-catalog/default/dwbb259ca6/productimages/singlepackshot/",LEFT(A646,FIND("-",A646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47" spans="1:4" x14ac:dyDescent="0.25">
      <c r="A647" s="3" t="s">
        <v>649</v>
      </c>
      <c r="B647" s="4">
        <v>59</v>
      </c>
      <c r="C647" s="3" t="str">
        <f ca="1">IFERROR(ROWSDUMMYFUNCTION(IF(A647="","",IFERROR(IMAGE(CONCATENATE("https://us.pandora.net/on/demandware.static/-/Sites-pandora-master-catalog/default/dwbb259ca6/productimages/singlepackshot/",LEFT(A647,FIND("-",A647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47" s="5" t="str">
        <f ca="1">IFERROR(ROWSDUMMYFUNCTION(IF(A647="","",CONCATENATE("https://us.pandora.net/on/demandware.static/-/Sites-pandora-master-catalog/default/dwbb259ca6/productimages/singlepackshot/",LEFT(A647,FIND("-",A647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48" spans="1:4" x14ac:dyDescent="0.25">
      <c r="A648" s="3" t="s">
        <v>650</v>
      </c>
      <c r="B648" s="4">
        <v>59</v>
      </c>
      <c r="C648" s="3" t="str">
        <f ca="1">IFERROR(ROWSDUMMYFUNCTION(IF(A648="","",IFERROR(IMAGE(CONCATENATE("https://us.pandora.net/on/demandware.static/-/Sites-pandora-master-catalog/default/dwbb259ca6/productimages/singlepackshot/",LEFT(A648,FIND("-",A648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48" s="5" t="str">
        <f ca="1">IFERROR(ROWSDUMMYFUNCTION(IF(A648="","",CONCATENATE("https://us.pandora.net/on/demandware.static/-/Sites-pandora-master-catalog/default/dwbb259ca6/productimages/singlepackshot/",LEFT(A648,FIND("-",A648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49" spans="1:4" x14ac:dyDescent="0.25">
      <c r="A649" s="3" t="s">
        <v>651</v>
      </c>
      <c r="B649" s="4">
        <v>59</v>
      </c>
      <c r="C649" s="3" t="str">
        <f ca="1">IFERROR(ROWSDUMMYFUNCTION(IF(A649="","",IFERROR(IMAGE(CONCATENATE("https://us.pandora.net/on/demandware.static/-/Sites-pandora-master-catalog/default/dwbb259ca6/productimages/singlepackshot/",LEFT(A649,FIND("-",A649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49" s="5" t="str">
        <f ca="1">IFERROR(ROWSDUMMYFUNCTION(IF(A649="","",CONCATENATE("https://us.pandora.net/on/demandware.static/-/Sites-pandora-master-catalog/default/dwbb259ca6/productimages/singlepackshot/",LEFT(A649,FIND("-",A649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50" spans="1:4" x14ac:dyDescent="0.25">
      <c r="A650" s="3" t="s">
        <v>652</v>
      </c>
      <c r="B650" s="4">
        <v>59</v>
      </c>
      <c r="C650" s="3" t="str">
        <f ca="1">IFERROR(ROWSDUMMYFUNCTION(IF(A650="","",IFERROR(IMAGE(CONCATENATE("https://us.pandora.net/on/demandware.static/-/Sites-pandora-master-catalog/default/dwbb259ca6/productimages/singlepackshot/",LEFT(A650,FIND("-",A650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50" s="5" t="str">
        <f ca="1">IFERROR(ROWSDUMMYFUNCTION(IF(A650="","",CONCATENATE("https://us.pandora.net/on/demandware.static/-/Sites-pandora-master-catalog/default/dwbb259ca6/productimages/singlepackshot/",LEFT(A650,FIND("-",A650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51" spans="1:4" x14ac:dyDescent="0.25">
      <c r="A651" s="3" t="s">
        <v>653</v>
      </c>
      <c r="B651" s="4">
        <v>59</v>
      </c>
      <c r="C651" s="3" t="str">
        <f ca="1">IFERROR(ROWSDUMMYFUNCTION(IF(A651="","",IFERROR(IMAGE(CONCATENATE("https://us.pandora.net/on/demandware.static/-/Sites-pandora-master-catalog/default/dwbb259ca6/productimages/singlepackshot/",LEFT(A651,FIND("-",A651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51" s="5" t="str">
        <f ca="1">IFERROR(ROWSDUMMYFUNCTION(IF(A651="","",CONCATENATE("https://us.pandora.net/on/demandware.static/-/Sites-pandora-master-catalog/default/dwbb259ca6/productimages/singlepackshot/",LEFT(A651,FIND("-",A651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52" spans="1:4" x14ac:dyDescent="0.25">
      <c r="A652" s="3" t="s">
        <v>654</v>
      </c>
      <c r="B652" s="4">
        <v>59</v>
      </c>
      <c r="C652" s="3" t="str">
        <f ca="1">IFERROR(ROWSDUMMYFUNCTION(IF(A652="","",IFERROR(IMAGE(CONCATENATE("https://us.pandora.net/on/demandware.static/-/Sites-pandora-master-catalog/default/dwbb259ca6/productimages/singlepackshot/",LEFT(A652,FIND("-",A652&amp;"-")-1),"_RGB.png")),""))),"{""url"":""https://us.pandora.net/on/demandware.static/-/Sites-pandora-master-catalog/default/dwbb259ca6/productimages/singlepackshot/182528C01_RGB.png"",""mode"":1}")</f>
        <v>{"url":"https://us.pandora.net/on/demandware.static/-/Sites-pandora-master-catalog/default/dwbb259ca6/productimages/singlepackshot/182528C01_RGB.png","mode":1}</v>
      </c>
      <c r="D652" s="5" t="str">
        <f ca="1">IFERROR(ROWSDUMMYFUNCTION(IF(A652="","",CONCATENATE("https://us.pandora.net/on/demandware.static/-/Sites-pandora-master-catalog/default/dwbb259ca6/productimages/singlepackshot/",LEFT(A652,FIND("-",A652&amp;"-")-1),"_RGB.png"))),"https://us.pandora.net/on/demandware.static/-/Sites-pandora-master-catalog/default/dwbb259ca6/productimages/singlepackshot/182528C01_RGB.png")</f>
        <v>https://us.pandora.net/on/demandware.static/-/Sites-pandora-master-catalog/default/dwbb259ca6/productimages/singlepackshot/182528C01_RGB.png</v>
      </c>
    </row>
    <row r="653" spans="1:4" x14ac:dyDescent="0.25">
      <c r="A653" s="3" t="s">
        <v>655</v>
      </c>
      <c r="B653" s="4">
        <v>59</v>
      </c>
      <c r="C653" s="3" t="str">
        <f ca="1">IFERROR(ROWSDUMMYFUNCTION(IF(A653="","",IFERROR(IMAGE(CONCATENATE("https://us.pandora.net/on/demandware.static/-/Sites-pandora-master-catalog/default/dwbb259ca6/productimages/singlepackshot/",LEFT(A653,FIND("-",A653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3" s="5" t="str">
        <f ca="1">IFERROR(ROWSDUMMYFUNCTION(IF(A653="","",CONCATENATE("https://us.pandora.net/on/demandware.static/-/Sites-pandora-master-catalog/default/dwbb259ca6/productimages/singlepackshot/",LEFT(A653,FIND("-",A653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54" spans="1:4" x14ac:dyDescent="0.25">
      <c r="A654" s="3" t="s">
        <v>656</v>
      </c>
      <c r="B654" s="4">
        <v>59</v>
      </c>
      <c r="C654" s="3" t="str">
        <f ca="1">IFERROR(ROWSDUMMYFUNCTION(IF(A654="","",IFERROR(IMAGE(CONCATENATE("https://us.pandora.net/on/demandware.static/-/Sites-pandora-master-catalog/default/dwbb259ca6/productimages/singlepackshot/",LEFT(A654,FIND("-",A654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4" s="5" t="str">
        <f ca="1">IFERROR(ROWSDUMMYFUNCTION(IF(A654="","",CONCATENATE("https://us.pandora.net/on/demandware.static/-/Sites-pandora-master-catalog/default/dwbb259ca6/productimages/singlepackshot/",LEFT(A654,FIND("-",A654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55" spans="1:4" x14ac:dyDescent="0.25">
      <c r="A655" s="3" t="s">
        <v>657</v>
      </c>
      <c r="B655" s="4">
        <v>59</v>
      </c>
      <c r="C655" s="3" t="str">
        <f ca="1">IFERROR(ROWSDUMMYFUNCTION(IF(A655="","",IFERROR(IMAGE(CONCATENATE("https://us.pandora.net/on/demandware.static/-/Sites-pandora-master-catalog/default/dwbb259ca6/productimages/singlepackshot/",LEFT(A655,FIND("-",A655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5" s="5" t="str">
        <f ca="1">IFERROR(ROWSDUMMYFUNCTION(IF(A655="","",CONCATENATE("https://us.pandora.net/on/demandware.static/-/Sites-pandora-master-catalog/default/dwbb259ca6/productimages/singlepackshot/",LEFT(A655,FIND("-",A655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56" spans="1:4" x14ac:dyDescent="0.25">
      <c r="A656" s="3" t="s">
        <v>658</v>
      </c>
      <c r="B656" s="4">
        <v>59</v>
      </c>
      <c r="C656" s="3" t="str">
        <f ca="1">IFERROR(ROWSDUMMYFUNCTION(IF(A656="","",IFERROR(IMAGE(CONCATENATE("https://us.pandora.net/on/demandware.static/-/Sites-pandora-master-catalog/default/dwbb259ca6/productimages/singlepackshot/",LEFT(A656,FIND("-",A656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6" s="5" t="str">
        <f ca="1">IFERROR(ROWSDUMMYFUNCTION(IF(A656="","",CONCATENATE("https://us.pandora.net/on/demandware.static/-/Sites-pandora-master-catalog/default/dwbb259ca6/productimages/singlepackshot/",LEFT(A656,FIND("-",A656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57" spans="1:4" x14ac:dyDescent="0.25">
      <c r="A657" s="3" t="s">
        <v>659</v>
      </c>
      <c r="B657" s="4">
        <v>59</v>
      </c>
      <c r="C657" s="3" t="str">
        <f ca="1">IFERROR(ROWSDUMMYFUNCTION(IF(A657="","",IFERROR(IMAGE(CONCATENATE("https://us.pandora.net/on/demandware.static/-/Sites-pandora-master-catalog/default/dwbb259ca6/productimages/singlepackshot/",LEFT(A657,FIND("-",A657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7" s="5" t="str">
        <f ca="1">IFERROR(ROWSDUMMYFUNCTION(IF(A657="","",CONCATENATE("https://us.pandora.net/on/demandware.static/-/Sites-pandora-master-catalog/default/dwbb259ca6/productimages/singlepackshot/",LEFT(A657,FIND("-",A657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58" spans="1:4" x14ac:dyDescent="0.25">
      <c r="A658" s="3" t="s">
        <v>660</v>
      </c>
      <c r="B658" s="4">
        <v>59</v>
      </c>
      <c r="C658" s="3" t="str">
        <f ca="1">IFERROR(ROWSDUMMYFUNCTION(IF(A658="","",IFERROR(IMAGE(CONCATENATE("https://us.pandora.net/on/demandware.static/-/Sites-pandora-master-catalog/default/dwbb259ca6/productimages/singlepackshot/",LEFT(A658,FIND("-",A658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8" s="5" t="str">
        <f ca="1">IFERROR(ROWSDUMMYFUNCTION(IF(A658="","",CONCATENATE("https://us.pandora.net/on/demandware.static/-/Sites-pandora-master-catalog/default/dwbb259ca6/productimages/singlepackshot/",LEFT(A658,FIND("-",A658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59" spans="1:4" x14ac:dyDescent="0.25">
      <c r="A659" s="3" t="s">
        <v>661</v>
      </c>
      <c r="B659" s="4">
        <v>59</v>
      </c>
      <c r="C659" s="3" t="str">
        <f ca="1">IFERROR(ROWSDUMMYFUNCTION(IF(A659="","",IFERROR(IMAGE(CONCATENATE("https://us.pandora.net/on/demandware.static/-/Sites-pandora-master-catalog/default/dwbb259ca6/productimages/singlepackshot/",LEFT(A659,FIND("-",A659&amp;"-")-1),"_RGB.png")),""))),"{""url"":""https://us.pandora.net/on/demandware.static/-/Sites-pandora-master-catalog/default/dwbb259ca6/productimages/singlepackshot/182539C01_RGB.png"",""mode"":1}")</f>
        <v>{"url":"https://us.pandora.net/on/demandware.static/-/Sites-pandora-master-catalog/default/dwbb259ca6/productimages/singlepackshot/182539C01_RGB.png","mode":1}</v>
      </c>
      <c r="D659" s="5" t="str">
        <f ca="1">IFERROR(ROWSDUMMYFUNCTION(IF(A659="","",CONCATENATE("https://us.pandora.net/on/demandware.static/-/Sites-pandora-master-catalog/default/dwbb259ca6/productimages/singlepackshot/",LEFT(A659,FIND("-",A659&amp;"-")-1),"_RGB.png"))),"https://us.pandora.net/on/demandware.static/-/Sites-pandora-master-catalog/default/dwbb259ca6/productimages/singlepackshot/182539C01_RGB.png")</f>
        <v>https://us.pandora.net/on/demandware.static/-/Sites-pandora-master-catalog/default/dwbb259ca6/productimages/singlepackshot/182539C01_RGB.png</v>
      </c>
    </row>
    <row r="660" spans="1:4" x14ac:dyDescent="0.25">
      <c r="A660" s="3" t="s">
        <v>662</v>
      </c>
      <c r="B660" s="4">
        <v>129</v>
      </c>
      <c r="C660" s="3" t="str">
        <f ca="1">IFERROR(ROWSDUMMYFUNCTION(IF(A660="","",IFERROR(IMAGE(CONCATENATE("https://us.pandora.net/on/demandware.static/-/Sites-pandora-master-catalog/default/dwbb259ca6/productimages/singlepackshot/",LEFT(A660,FIND("-",A660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0" s="5" t="str">
        <f ca="1">IFERROR(ROWSDUMMYFUNCTION(IF(A660="","",CONCATENATE("https://us.pandora.net/on/demandware.static/-/Sites-pandora-master-catalog/default/dwbb259ca6/productimages/singlepackshot/",LEFT(A660,FIND("-",A660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1" spans="1:4" x14ac:dyDescent="0.25">
      <c r="A661" s="3" t="s">
        <v>663</v>
      </c>
      <c r="B661" s="4">
        <v>129</v>
      </c>
      <c r="C661" s="3" t="str">
        <f ca="1">IFERROR(ROWSDUMMYFUNCTION(IF(A661="","",IFERROR(IMAGE(CONCATENATE("https://us.pandora.net/on/demandware.static/-/Sites-pandora-master-catalog/default/dwbb259ca6/productimages/singlepackshot/",LEFT(A661,FIND("-",A661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1" s="5" t="str">
        <f ca="1">IFERROR(ROWSDUMMYFUNCTION(IF(A661="","",CONCATENATE("https://us.pandora.net/on/demandware.static/-/Sites-pandora-master-catalog/default/dwbb259ca6/productimages/singlepackshot/",LEFT(A661,FIND("-",A661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2" spans="1:4" x14ac:dyDescent="0.25">
      <c r="A662" s="3" t="s">
        <v>664</v>
      </c>
      <c r="B662" s="4">
        <v>129</v>
      </c>
      <c r="C662" s="3" t="str">
        <f ca="1">IFERROR(ROWSDUMMYFUNCTION(IF(A662="","",IFERROR(IMAGE(CONCATENATE("https://us.pandora.net/on/demandware.static/-/Sites-pandora-master-catalog/default/dwbb259ca6/productimages/singlepackshot/",LEFT(A662,FIND("-",A662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2" s="5" t="str">
        <f ca="1">IFERROR(ROWSDUMMYFUNCTION(IF(A662="","",CONCATENATE("https://us.pandora.net/on/demandware.static/-/Sites-pandora-master-catalog/default/dwbb259ca6/productimages/singlepackshot/",LEFT(A662,FIND("-",A662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3" spans="1:4" x14ac:dyDescent="0.25">
      <c r="A663" s="3" t="s">
        <v>665</v>
      </c>
      <c r="B663" s="4">
        <v>129</v>
      </c>
      <c r="C663" s="3" t="str">
        <f ca="1">IFERROR(ROWSDUMMYFUNCTION(IF(A663="","",IFERROR(IMAGE(CONCATENATE("https://us.pandora.net/on/demandware.static/-/Sites-pandora-master-catalog/default/dwbb259ca6/productimages/singlepackshot/",LEFT(A663,FIND("-",A663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3" s="5" t="str">
        <f ca="1">IFERROR(ROWSDUMMYFUNCTION(IF(A663="","",CONCATENATE("https://us.pandora.net/on/demandware.static/-/Sites-pandora-master-catalog/default/dwbb259ca6/productimages/singlepackshot/",LEFT(A663,FIND("-",A663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4" spans="1:4" x14ac:dyDescent="0.25">
      <c r="A664" s="3" t="s">
        <v>666</v>
      </c>
      <c r="B664" s="4">
        <v>129</v>
      </c>
      <c r="C664" s="3" t="str">
        <f ca="1">IFERROR(ROWSDUMMYFUNCTION(IF(A664="","",IFERROR(IMAGE(CONCATENATE("https://us.pandora.net/on/demandware.static/-/Sites-pandora-master-catalog/default/dwbb259ca6/productimages/singlepackshot/",LEFT(A664,FIND("-",A664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4" s="5" t="str">
        <f ca="1">IFERROR(ROWSDUMMYFUNCTION(IF(A664="","",CONCATENATE("https://us.pandora.net/on/demandware.static/-/Sites-pandora-master-catalog/default/dwbb259ca6/productimages/singlepackshot/",LEFT(A664,FIND("-",A664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5" spans="1:4" x14ac:dyDescent="0.25">
      <c r="A665" s="3" t="s">
        <v>667</v>
      </c>
      <c r="B665" s="4">
        <v>129</v>
      </c>
      <c r="C665" s="3" t="str">
        <f ca="1">IFERROR(ROWSDUMMYFUNCTION(IF(A665="","",IFERROR(IMAGE(CONCATENATE("https://us.pandora.net/on/demandware.static/-/Sites-pandora-master-catalog/default/dwbb259ca6/productimages/singlepackshot/",LEFT(A665,FIND("-",A665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5" s="5" t="str">
        <f ca="1">IFERROR(ROWSDUMMYFUNCTION(IF(A665="","",CONCATENATE("https://us.pandora.net/on/demandware.static/-/Sites-pandora-master-catalog/default/dwbb259ca6/productimages/singlepackshot/",LEFT(A665,FIND("-",A665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6" spans="1:4" x14ac:dyDescent="0.25">
      <c r="A666" s="3" t="s">
        <v>668</v>
      </c>
      <c r="B666" s="4">
        <v>129</v>
      </c>
      <c r="C666" s="3" t="str">
        <f ca="1">IFERROR(ROWSDUMMYFUNCTION(IF(A666="","",IFERROR(IMAGE(CONCATENATE("https://us.pandora.net/on/demandware.static/-/Sites-pandora-master-catalog/default/dwbb259ca6/productimages/singlepackshot/",LEFT(A666,FIND("-",A666&amp;"-")-1),"_RGB.png")),""))),"{""url"":""https://us.pandora.net/on/demandware.static/-/Sites-pandora-master-catalog/default/dwbb259ca6/productimages/singlepackshot/182629C01_RGB.png"",""mode"":1}")</f>
        <v>{"url":"https://us.pandora.net/on/demandware.static/-/Sites-pandora-master-catalog/default/dwbb259ca6/productimages/singlepackshot/182629C01_RGB.png","mode":1}</v>
      </c>
      <c r="D666" s="5" t="str">
        <f ca="1">IFERROR(ROWSDUMMYFUNCTION(IF(A666="","",CONCATENATE("https://us.pandora.net/on/demandware.static/-/Sites-pandora-master-catalog/default/dwbb259ca6/productimages/singlepackshot/",LEFT(A666,FIND("-",A666&amp;"-")-1),"_RGB.png"))),"https://us.pandora.net/on/demandware.static/-/Sites-pandora-master-catalog/default/dwbb259ca6/productimages/singlepackshot/182629C01_RGB.png")</f>
        <v>https://us.pandora.net/on/demandware.static/-/Sites-pandora-master-catalog/default/dwbb259ca6/productimages/singlepackshot/182629C01_RGB.png</v>
      </c>
    </row>
    <row r="667" spans="1:4" x14ac:dyDescent="0.25">
      <c r="A667" s="3" t="s">
        <v>669</v>
      </c>
      <c r="B667" s="4">
        <v>99</v>
      </c>
      <c r="C667" s="3" t="str">
        <f ca="1">IFERROR(ROWSDUMMYFUNCTION(IF(A667="","",IFERROR(IMAGE(CONCATENATE("https://us.pandora.net/on/demandware.static/-/Sites-pandora-master-catalog/default/dwbb259ca6/productimages/singlepackshot/",LEFT(A667,FIND("-",A667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67" s="5" t="str">
        <f ca="1">IFERROR(ROWSDUMMYFUNCTION(IF(A667="","",CONCATENATE("https://us.pandora.net/on/demandware.static/-/Sites-pandora-master-catalog/default/dwbb259ca6/productimages/singlepackshot/",LEFT(A667,FIND("-",A667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68" spans="1:4" x14ac:dyDescent="0.25">
      <c r="A668" s="3" t="s">
        <v>670</v>
      </c>
      <c r="B668" s="4">
        <v>99</v>
      </c>
      <c r="C668" s="3" t="str">
        <f ca="1">IFERROR(ROWSDUMMYFUNCTION(IF(A668="","",IFERROR(IMAGE(CONCATENATE("https://us.pandora.net/on/demandware.static/-/Sites-pandora-master-catalog/default/dwbb259ca6/productimages/singlepackshot/",LEFT(A668,FIND("-",A668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68" s="5" t="str">
        <f ca="1">IFERROR(ROWSDUMMYFUNCTION(IF(A668="","",CONCATENATE("https://us.pandora.net/on/demandware.static/-/Sites-pandora-master-catalog/default/dwbb259ca6/productimages/singlepackshot/",LEFT(A668,FIND("-",A668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69" spans="1:4" x14ac:dyDescent="0.25">
      <c r="A669" s="3" t="s">
        <v>671</v>
      </c>
      <c r="B669" s="4">
        <v>99</v>
      </c>
      <c r="C669" s="3" t="str">
        <f ca="1">IFERROR(ROWSDUMMYFUNCTION(IF(A669="","",IFERROR(IMAGE(CONCATENATE("https://us.pandora.net/on/demandware.static/-/Sites-pandora-master-catalog/default/dwbb259ca6/productimages/singlepackshot/",LEFT(A669,FIND("-",A669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69" s="5" t="str">
        <f ca="1">IFERROR(ROWSDUMMYFUNCTION(IF(A669="","",CONCATENATE("https://us.pandora.net/on/demandware.static/-/Sites-pandora-master-catalog/default/dwbb259ca6/productimages/singlepackshot/",LEFT(A669,FIND("-",A669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70" spans="1:4" x14ac:dyDescent="0.25">
      <c r="A670" s="3" t="s">
        <v>672</v>
      </c>
      <c r="B670" s="4">
        <v>99</v>
      </c>
      <c r="C670" s="3" t="str">
        <f ca="1">IFERROR(ROWSDUMMYFUNCTION(IF(A670="","",IFERROR(IMAGE(CONCATENATE("https://us.pandora.net/on/demandware.static/-/Sites-pandora-master-catalog/default/dwbb259ca6/productimages/singlepackshot/",LEFT(A670,FIND("-",A670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70" s="5" t="str">
        <f ca="1">IFERROR(ROWSDUMMYFUNCTION(IF(A670="","",CONCATENATE("https://us.pandora.net/on/demandware.static/-/Sites-pandora-master-catalog/default/dwbb259ca6/productimages/singlepackshot/",LEFT(A670,FIND("-",A670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71" spans="1:4" x14ac:dyDescent="0.25">
      <c r="A671" s="3" t="s">
        <v>673</v>
      </c>
      <c r="B671" s="4">
        <v>99</v>
      </c>
      <c r="C671" s="3" t="str">
        <f ca="1">IFERROR(ROWSDUMMYFUNCTION(IF(A671="","",IFERROR(IMAGE(CONCATENATE("https://us.pandora.net/on/demandware.static/-/Sites-pandora-master-catalog/default/dwbb259ca6/productimages/singlepackshot/",LEFT(A671,FIND("-",A671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71" s="5" t="str">
        <f ca="1">IFERROR(ROWSDUMMYFUNCTION(IF(A671="","",CONCATENATE("https://us.pandora.net/on/demandware.static/-/Sites-pandora-master-catalog/default/dwbb259ca6/productimages/singlepackshot/",LEFT(A671,FIND("-",A671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72" spans="1:4" x14ac:dyDescent="0.25">
      <c r="A672" s="3" t="s">
        <v>674</v>
      </c>
      <c r="B672" s="4">
        <v>99</v>
      </c>
      <c r="C672" s="3" t="str">
        <f ca="1">IFERROR(ROWSDUMMYFUNCTION(IF(A672="","",IFERROR(IMAGE(CONCATENATE("https://us.pandora.net/on/demandware.static/-/Sites-pandora-master-catalog/default/dwbb259ca6/productimages/singlepackshot/",LEFT(A672,FIND("-",A672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72" s="5" t="str">
        <f ca="1">IFERROR(ROWSDUMMYFUNCTION(IF(A672="","",CONCATENATE("https://us.pandora.net/on/demandware.static/-/Sites-pandora-master-catalog/default/dwbb259ca6/productimages/singlepackshot/",LEFT(A672,FIND("-",A672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73" spans="1:4" x14ac:dyDescent="0.25">
      <c r="A673" s="3" t="s">
        <v>675</v>
      </c>
      <c r="B673" s="4">
        <v>99</v>
      </c>
      <c r="C673" s="3" t="str">
        <f ca="1">IFERROR(ROWSDUMMYFUNCTION(IF(A673="","",IFERROR(IMAGE(CONCATENATE("https://us.pandora.net/on/demandware.static/-/Sites-pandora-master-catalog/default/dwbb259ca6/productimages/singlepackshot/",LEFT(A673,FIND("-",A673&amp;"-")-1),"_RGB.png")),""))),"{""url"":""https://us.pandora.net/on/demandware.static/-/Sites-pandora-master-catalog/default/dwbb259ca6/productimages/singlepackshot/182773C01_RGB.png"",""mode"":1}")</f>
        <v>{"url":"https://us.pandora.net/on/demandware.static/-/Sites-pandora-master-catalog/default/dwbb259ca6/productimages/singlepackshot/182773C01_RGB.png","mode":1}</v>
      </c>
      <c r="D673" s="5" t="str">
        <f ca="1">IFERROR(ROWSDUMMYFUNCTION(IF(A673="","",CONCATENATE("https://us.pandora.net/on/demandware.static/-/Sites-pandora-master-catalog/default/dwbb259ca6/productimages/singlepackshot/",LEFT(A673,FIND("-",A673&amp;"-")-1),"_RGB.png"))),"https://us.pandora.net/on/demandware.static/-/Sites-pandora-master-catalog/default/dwbb259ca6/productimages/singlepackshot/182773C01_RGB.png")</f>
        <v>https://us.pandora.net/on/demandware.static/-/Sites-pandora-master-catalog/default/dwbb259ca6/productimages/singlepackshot/182773C01_RGB.png</v>
      </c>
    </row>
    <row r="674" spans="1:4" x14ac:dyDescent="0.25">
      <c r="A674" s="3" t="s">
        <v>676</v>
      </c>
      <c r="B674" s="4">
        <v>99</v>
      </c>
      <c r="C674" s="3" t="str">
        <f ca="1">IFERROR(ROWSDUMMYFUNCTION(IF(A674="","",IFERROR(IMAGE(CONCATENATE("https://us.pandora.net/on/demandware.static/-/Sites-pandora-master-catalog/default/dwbb259ca6/productimages/singlepackshot/",LEFT(A674,FIND("-",A674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74" s="5" t="str">
        <f ca="1">IFERROR(ROWSDUMMYFUNCTION(IF(A674="","",CONCATENATE("https://us.pandora.net/on/demandware.static/-/Sites-pandora-master-catalog/default/dwbb259ca6/productimages/singlepackshot/",LEFT(A674,FIND("-",A674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75" spans="1:4" x14ac:dyDescent="0.25">
      <c r="A675" s="3" t="s">
        <v>677</v>
      </c>
      <c r="B675" s="4">
        <v>99</v>
      </c>
      <c r="C675" s="3" t="str">
        <f ca="1">IFERROR(ROWSDUMMYFUNCTION(IF(A675="","",IFERROR(IMAGE(CONCATENATE("https://us.pandora.net/on/demandware.static/-/Sites-pandora-master-catalog/default/dwbb259ca6/productimages/singlepackshot/",LEFT(A675,FIND("-",A675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75" s="5" t="str">
        <f ca="1">IFERROR(ROWSDUMMYFUNCTION(IF(A675="","",CONCATENATE("https://us.pandora.net/on/demandware.static/-/Sites-pandora-master-catalog/default/dwbb259ca6/productimages/singlepackshot/",LEFT(A675,FIND("-",A675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76" spans="1:4" x14ac:dyDescent="0.25">
      <c r="A676" s="3" t="s">
        <v>678</v>
      </c>
      <c r="B676" s="4">
        <v>99</v>
      </c>
      <c r="C676" s="3" t="str">
        <f ca="1">IFERROR(ROWSDUMMYFUNCTION(IF(A676="","",IFERROR(IMAGE(CONCATENATE("https://us.pandora.net/on/demandware.static/-/Sites-pandora-master-catalog/default/dwbb259ca6/productimages/singlepackshot/",LEFT(A676,FIND("-",A676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76" s="5" t="str">
        <f ca="1">IFERROR(ROWSDUMMYFUNCTION(IF(A676="","",CONCATENATE("https://us.pandora.net/on/demandware.static/-/Sites-pandora-master-catalog/default/dwbb259ca6/productimages/singlepackshot/",LEFT(A676,FIND("-",A676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77" spans="1:4" x14ac:dyDescent="0.25">
      <c r="A677" s="3" t="s">
        <v>679</v>
      </c>
      <c r="B677" s="4">
        <v>99</v>
      </c>
      <c r="C677" s="3" t="str">
        <f ca="1">IFERROR(ROWSDUMMYFUNCTION(IF(A677="","",IFERROR(IMAGE(CONCATENATE("https://us.pandora.net/on/demandware.static/-/Sites-pandora-master-catalog/default/dwbb259ca6/productimages/singlepackshot/",LEFT(A677,FIND("-",A677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77" s="5" t="str">
        <f ca="1">IFERROR(ROWSDUMMYFUNCTION(IF(A677="","",CONCATENATE("https://us.pandora.net/on/demandware.static/-/Sites-pandora-master-catalog/default/dwbb259ca6/productimages/singlepackshot/",LEFT(A677,FIND("-",A677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78" spans="1:4" x14ac:dyDescent="0.25">
      <c r="A678" s="3" t="s">
        <v>680</v>
      </c>
      <c r="B678" s="4">
        <v>99</v>
      </c>
      <c r="C678" s="3" t="str">
        <f ca="1">IFERROR(ROWSDUMMYFUNCTION(IF(A678="","",IFERROR(IMAGE(CONCATENATE("https://us.pandora.net/on/demandware.static/-/Sites-pandora-master-catalog/default/dwbb259ca6/productimages/singlepackshot/",LEFT(A678,FIND("-",A678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78" s="5" t="str">
        <f ca="1">IFERROR(ROWSDUMMYFUNCTION(IF(A678="","",CONCATENATE("https://us.pandora.net/on/demandware.static/-/Sites-pandora-master-catalog/default/dwbb259ca6/productimages/singlepackshot/",LEFT(A678,FIND("-",A678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79" spans="1:4" x14ac:dyDescent="0.25">
      <c r="A679" s="3" t="s">
        <v>681</v>
      </c>
      <c r="B679" s="4">
        <v>99</v>
      </c>
      <c r="C679" s="3" t="str">
        <f ca="1">IFERROR(ROWSDUMMYFUNCTION(IF(A679="","",IFERROR(IMAGE(CONCATENATE("https://us.pandora.net/on/demandware.static/-/Sites-pandora-master-catalog/default/dwbb259ca6/productimages/singlepackshot/",LEFT(A679,FIND("-",A679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79" s="5" t="str">
        <f ca="1">IFERROR(ROWSDUMMYFUNCTION(IF(A679="","",CONCATENATE("https://us.pandora.net/on/demandware.static/-/Sites-pandora-master-catalog/default/dwbb259ca6/productimages/singlepackshot/",LEFT(A679,FIND("-",A679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80" spans="1:4" x14ac:dyDescent="0.25">
      <c r="A680" s="3" t="s">
        <v>682</v>
      </c>
      <c r="B680" s="4">
        <v>99</v>
      </c>
      <c r="C680" s="3" t="str">
        <f ca="1">IFERROR(ROWSDUMMYFUNCTION(IF(A680="","",IFERROR(IMAGE(CONCATENATE("https://us.pandora.net/on/demandware.static/-/Sites-pandora-master-catalog/default/dwbb259ca6/productimages/singlepackshot/",LEFT(A680,FIND("-",A680&amp;"-")-1),"_RGB.png")),""))),"{""url"":""https://us.pandora.net/on/demandware.static/-/Sites-pandora-master-catalog/default/dwbb259ca6/productimages/singlepackshot/182835C01_RGB.png"",""mode"":1}")</f>
        <v>{"url":"https://us.pandora.net/on/demandware.static/-/Sites-pandora-master-catalog/default/dwbb259ca6/productimages/singlepackshot/182835C01_RGB.png","mode":1}</v>
      </c>
      <c r="D680" s="5" t="str">
        <f ca="1">IFERROR(ROWSDUMMYFUNCTION(IF(A680="","",CONCATENATE("https://us.pandora.net/on/demandware.static/-/Sites-pandora-master-catalog/default/dwbb259ca6/productimages/singlepackshot/",LEFT(A680,FIND("-",A680&amp;"-")-1),"_RGB.png"))),"https://us.pandora.net/on/demandware.static/-/Sites-pandora-master-catalog/default/dwbb259ca6/productimages/singlepackshot/182835C01_RGB.png")</f>
        <v>https://us.pandora.net/on/demandware.static/-/Sites-pandora-master-catalog/default/dwbb259ca6/productimages/singlepackshot/182835C01_RGB.png</v>
      </c>
    </row>
    <row r="681" spans="1:4" x14ac:dyDescent="0.25">
      <c r="A681" s="3" t="s">
        <v>683</v>
      </c>
      <c r="B681" s="4">
        <v>59</v>
      </c>
      <c r="C681" s="3" t="str">
        <f ca="1">IFERROR(ROWSDUMMYFUNCTION(IF(A681="","",IFERROR(IMAGE(CONCATENATE("https://us.pandora.net/on/demandware.static/-/Sites-pandora-master-catalog/default/dwbb259ca6/productimages/singlepackshot/",LEFT(A681,FIND("-",A681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1" s="5" t="str">
        <f ca="1">IFERROR(ROWSDUMMYFUNCTION(IF(A681="","",CONCATENATE("https://us.pandora.net/on/demandware.static/-/Sites-pandora-master-catalog/default/dwbb259ca6/productimages/singlepackshot/",LEFT(A681,FIND("-",A681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2" spans="1:4" x14ac:dyDescent="0.25">
      <c r="A682" s="3" t="s">
        <v>684</v>
      </c>
      <c r="B682" s="4">
        <v>59</v>
      </c>
      <c r="C682" s="3" t="str">
        <f ca="1">IFERROR(ROWSDUMMYFUNCTION(IF(A682="","",IFERROR(IMAGE(CONCATENATE("https://us.pandora.net/on/demandware.static/-/Sites-pandora-master-catalog/default/dwbb259ca6/productimages/singlepackshot/",LEFT(A682,FIND("-",A682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2" s="5" t="str">
        <f ca="1">IFERROR(ROWSDUMMYFUNCTION(IF(A682="","",CONCATENATE("https://us.pandora.net/on/demandware.static/-/Sites-pandora-master-catalog/default/dwbb259ca6/productimages/singlepackshot/",LEFT(A682,FIND("-",A682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3" spans="1:4" x14ac:dyDescent="0.25">
      <c r="A683" s="3" t="s">
        <v>685</v>
      </c>
      <c r="B683" s="4">
        <v>59</v>
      </c>
      <c r="C683" s="3" t="str">
        <f ca="1">IFERROR(ROWSDUMMYFUNCTION(IF(A683="","",IFERROR(IMAGE(CONCATENATE("https://us.pandora.net/on/demandware.static/-/Sites-pandora-master-catalog/default/dwbb259ca6/productimages/singlepackshot/",LEFT(A683,FIND("-",A683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3" s="5" t="str">
        <f ca="1">IFERROR(ROWSDUMMYFUNCTION(IF(A683="","",CONCATENATE("https://us.pandora.net/on/demandware.static/-/Sites-pandora-master-catalog/default/dwbb259ca6/productimages/singlepackshot/",LEFT(A683,FIND("-",A683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4" spans="1:4" x14ac:dyDescent="0.25">
      <c r="A684" s="3" t="s">
        <v>686</v>
      </c>
      <c r="B684" s="4">
        <v>59</v>
      </c>
      <c r="C684" s="3" t="str">
        <f ca="1">IFERROR(ROWSDUMMYFUNCTION(IF(A684="","",IFERROR(IMAGE(CONCATENATE("https://us.pandora.net/on/demandware.static/-/Sites-pandora-master-catalog/default/dwbb259ca6/productimages/singlepackshot/",LEFT(A684,FIND("-",A684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4" s="5" t="str">
        <f ca="1">IFERROR(ROWSDUMMYFUNCTION(IF(A684="","",CONCATENATE("https://us.pandora.net/on/demandware.static/-/Sites-pandora-master-catalog/default/dwbb259ca6/productimages/singlepackshot/",LEFT(A684,FIND("-",A684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5" spans="1:4" x14ac:dyDescent="0.25">
      <c r="A685" s="3" t="s">
        <v>687</v>
      </c>
      <c r="B685" s="4">
        <v>59</v>
      </c>
      <c r="C685" s="3" t="str">
        <f ca="1">IFERROR(ROWSDUMMYFUNCTION(IF(A685="","",IFERROR(IMAGE(CONCATENATE("https://us.pandora.net/on/demandware.static/-/Sites-pandora-master-catalog/default/dwbb259ca6/productimages/singlepackshot/",LEFT(A685,FIND("-",A685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5" s="5" t="str">
        <f ca="1">IFERROR(ROWSDUMMYFUNCTION(IF(A685="","",CONCATENATE("https://us.pandora.net/on/demandware.static/-/Sites-pandora-master-catalog/default/dwbb259ca6/productimages/singlepackshot/",LEFT(A685,FIND("-",A685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6" spans="1:4" x14ac:dyDescent="0.25">
      <c r="A686" s="3" t="s">
        <v>688</v>
      </c>
      <c r="B686" s="4">
        <v>59</v>
      </c>
      <c r="C686" s="3" t="str">
        <f ca="1">IFERROR(ROWSDUMMYFUNCTION(IF(A686="","",IFERROR(IMAGE(CONCATENATE("https://us.pandora.net/on/demandware.static/-/Sites-pandora-master-catalog/default/dwbb259ca6/productimages/singlepackshot/",LEFT(A686,FIND("-",A686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6" s="5" t="str">
        <f ca="1">IFERROR(ROWSDUMMYFUNCTION(IF(A686="","",CONCATENATE("https://us.pandora.net/on/demandware.static/-/Sites-pandora-master-catalog/default/dwbb259ca6/productimages/singlepackshot/",LEFT(A686,FIND("-",A686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7" spans="1:4" x14ac:dyDescent="0.25">
      <c r="A687" s="3" t="s">
        <v>689</v>
      </c>
      <c r="B687" s="4">
        <v>59</v>
      </c>
      <c r="C687" s="3" t="str">
        <f ca="1">IFERROR(ROWSDUMMYFUNCTION(IF(A687="","",IFERROR(IMAGE(CONCATENATE("https://us.pandora.net/on/demandware.static/-/Sites-pandora-master-catalog/default/dwbb259ca6/productimages/singlepackshot/",LEFT(A687,FIND("-",A687&amp;"-")-1),"_RGB.png")),""))),"{""url"":""https://us.pandora.net/on/demandware.static/-/Sites-pandora-master-catalog/default/dwbb259ca6/productimages/singlepackshot/182999C01_RGB.png"",""mode"":1}")</f>
        <v>{"url":"https://us.pandora.net/on/demandware.static/-/Sites-pandora-master-catalog/default/dwbb259ca6/productimages/singlepackshot/182999C01_RGB.png","mode":1}</v>
      </c>
      <c r="D687" s="5" t="str">
        <f ca="1">IFERROR(ROWSDUMMYFUNCTION(IF(A687="","",CONCATENATE("https://us.pandora.net/on/demandware.static/-/Sites-pandora-master-catalog/default/dwbb259ca6/productimages/singlepackshot/",LEFT(A687,FIND("-",A687&amp;"-")-1),"_RGB.png"))),"https://us.pandora.net/on/demandware.static/-/Sites-pandora-master-catalog/default/dwbb259ca6/productimages/singlepackshot/182999C01_RGB.png")</f>
        <v>https://us.pandora.net/on/demandware.static/-/Sites-pandora-master-catalog/default/dwbb259ca6/productimages/singlepackshot/182999C01_RGB.png</v>
      </c>
    </row>
    <row r="688" spans="1:4" x14ac:dyDescent="0.25">
      <c r="A688" s="3" t="s">
        <v>690</v>
      </c>
      <c r="B688" s="4">
        <v>119</v>
      </c>
      <c r="C688" s="3" t="str">
        <f ca="1">IFERROR(ROWSDUMMYFUNCTION(IF(A688="","",IFERROR(IMAGE(CONCATENATE("https://us.pandora.net/on/demandware.static/-/Sites-pandora-master-catalog/default/dwbb259ca6/productimages/singlepackshot/",LEFT(A688,FIND("-",A688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88" s="5" t="str">
        <f ca="1">IFERROR(ROWSDUMMYFUNCTION(IF(A688="","",CONCATENATE("https://us.pandora.net/on/demandware.static/-/Sites-pandora-master-catalog/default/dwbb259ca6/productimages/singlepackshot/",LEFT(A688,FIND("-",A688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89" spans="1:4" x14ac:dyDescent="0.25">
      <c r="A689" s="3" t="s">
        <v>691</v>
      </c>
      <c r="B689" s="4">
        <v>119</v>
      </c>
      <c r="C689" s="3" t="str">
        <f ca="1">IFERROR(ROWSDUMMYFUNCTION(IF(A689="","",IFERROR(IMAGE(CONCATENATE("https://us.pandora.net/on/demandware.static/-/Sites-pandora-master-catalog/default/dwbb259ca6/productimages/singlepackshot/",LEFT(A689,FIND("-",A689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89" s="5" t="str">
        <f ca="1">IFERROR(ROWSDUMMYFUNCTION(IF(A689="","",CONCATENATE("https://us.pandora.net/on/demandware.static/-/Sites-pandora-master-catalog/default/dwbb259ca6/productimages/singlepackshot/",LEFT(A689,FIND("-",A689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90" spans="1:4" x14ac:dyDescent="0.25">
      <c r="A690" s="3" t="s">
        <v>692</v>
      </c>
      <c r="B690" s="4">
        <v>119</v>
      </c>
      <c r="C690" s="3" t="str">
        <f ca="1">IFERROR(ROWSDUMMYFUNCTION(IF(A690="","",IFERROR(IMAGE(CONCATENATE("https://us.pandora.net/on/demandware.static/-/Sites-pandora-master-catalog/default/dwbb259ca6/productimages/singlepackshot/",LEFT(A690,FIND("-",A690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90" s="5" t="str">
        <f ca="1">IFERROR(ROWSDUMMYFUNCTION(IF(A690="","",CONCATENATE("https://us.pandora.net/on/demandware.static/-/Sites-pandora-master-catalog/default/dwbb259ca6/productimages/singlepackshot/",LEFT(A690,FIND("-",A690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91" spans="1:4" x14ac:dyDescent="0.25">
      <c r="A691" s="3" t="s">
        <v>693</v>
      </c>
      <c r="B691" s="4">
        <v>119</v>
      </c>
      <c r="C691" s="3" t="str">
        <f ca="1">IFERROR(ROWSDUMMYFUNCTION(IF(A691="","",IFERROR(IMAGE(CONCATENATE("https://us.pandora.net/on/demandware.static/-/Sites-pandora-master-catalog/default/dwbb259ca6/productimages/singlepackshot/",LEFT(A691,FIND("-",A691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91" s="5" t="str">
        <f ca="1">IFERROR(ROWSDUMMYFUNCTION(IF(A691="","",CONCATENATE("https://us.pandora.net/on/demandware.static/-/Sites-pandora-master-catalog/default/dwbb259ca6/productimages/singlepackshot/",LEFT(A691,FIND("-",A691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92" spans="1:4" x14ac:dyDescent="0.25">
      <c r="A692" s="3" t="s">
        <v>694</v>
      </c>
      <c r="B692" s="4">
        <v>119</v>
      </c>
      <c r="C692" s="3" t="str">
        <f ca="1">IFERROR(ROWSDUMMYFUNCTION(IF(A692="","",IFERROR(IMAGE(CONCATENATE("https://us.pandora.net/on/demandware.static/-/Sites-pandora-master-catalog/default/dwbb259ca6/productimages/singlepackshot/",LEFT(A692,FIND("-",A692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92" s="5" t="str">
        <f ca="1">IFERROR(ROWSDUMMYFUNCTION(IF(A692="","",CONCATENATE("https://us.pandora.net/on/demandware.static/-/Sites-pandora-master-catalog/default/dwbb259ca6/productimages/singlepackshot/",LEFT(A692,FIND("-",A692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93" spans="1:4" x14ac:dyDescent="0.25">
      <c r="A693" s="3" t="s">
        <v>695</v>
      </c>
      <c r="B693" s="4">
        <v>119</v>
      </c>
      <c r="C693" s="3" t="str">
        <f ca="1">IFERROR(ROWSDUMMYFUNCTION(IF(A693="","",IFERROR(IMAGE(CONCATENATE("https://us.pandora.net/on/demandware.static/-/Sites-pandora-master-catalog/default/dwbb259ca6/productimages/singlepackshot/",LEFT(A693,FIND("-",A693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93" s="5" t="str">
        <f ca="1">IFERROR(ROWSDUMMYFUNCTION(IF(A693="","",CONCATENATE("https://us.pandora.net/on/demandware.static/-/Sites-pandora-master-catalog/default/dwbb259ca6/productimages/singlepackshot/",LEFT(A693,FIND("-",A693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94" spans="1:4" x14ac:dyDescent="0.25">
      <c r="A694" s="3" t="s">
        <v>696</v>
      </c>
      <c r="B694" s="4">
        <v>119</v>
      </c>
      <c r="C694" s="3" t="str">
        <f ca="1">IFERROR(ROWSDUMMYFUNCTION(IF(A694="","",IFERROR(IMAGE(CONCATENATE("https://us.pandora.net/on/demandware.static/-/Sites-pandora-master-catalog/default/dwbb259ca6/productimages/singlepackshot/",LEFT(A694,FIND("-",A694&amp;"-")-1),"_RGB.png")),""))),"{""url"":""https://us.pandora.net/on/demandware.static/-/Sites-pandora-master-catalog/default/dwbb259ca6/productimages/singlepackshot/183021C01_RGB.png"",""mode"":1}")</f>
        <v>{"url":"https://us.pandora.net/on/demandware.static/-/Sites-pandora-master-catalog/default/dwbb259ca6/productimages/singlepackshot/183021C01_RGB.png","mode":1}</v>
      </c>
      <c r="D694" s="5" t="str">
        <f ca="1">IFERROR(ROWSDUMMYFUNCTION(IF(A694="","",CONCATENATE("https://us.pandora.net/on/demandware.static/-/Sites-pandora-master-catalog/default/dwbb259ca6/productimages/singlepackshot/",LEFT(A694,FIND("-",A694&amp;"-")-1),"_RGB.png"))),"https://us.pandora.net/on/demandware.static/-/Sites-pandora-master-catalog/default/dwbb259ca6/productimages/singlepackshot/183021C01_RGB.png")</f>
        <v>https://us.pandora.net/on/demandware.static/-/Sites-pandora-master-catalog/default/dwbb259ca6/productimages/singlepackshot/183021C01_RGB.png</v>
      </c>
    </row>
    <row r="695" spans="1:4" x14ac:dyDescent="0.25">
      <c r="A695" s="3" t="s">
        <v>697</v>
      </c>
      <c r="B695" s="4">
        <v>49</v>
      </c>
      <c r="C695" s="3" t="str">
        <f ca="1">IFERROR(ROWSDUMMYFUNCTION(IF(A695="","",IFERROR(IMAGE(CONCATENATE("https://us.pandora.net/on/demandware.static/-/Sites-pandora-master-catalog/default/dwbb259ca6/productimages/singlepackshot/",LEFT(A695,FIND("-",A695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695" s="5" t="str">
        <f ca="1">IFERROR(ROWSDUMMYFUNCTION(IF(A695="","",CONCATENATE("https://us.pandora.net/on/demandware.static/-/Sites-pandora-master-catalog/default/dwbb259ca6/productimages/singlepackshot/",LEFT(A695,FIND("-",A695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696" spans="1:4" x14ac:dyDescent="0.25">
      <c r="A696" s="3" t="s">
        <v>698</v>
      </c>
      <c r="B696" s="4">
        <v>49</v>
      </c>
      <c r="C696" s="3" t="str">
        <f ca="1">IFERROR(ROWSDUMMYFUNCTION(IF(A696="","",IFERROR(IMAGE(CONCATENATE("https://us.pandora.net/on/demandware.static/-/Sites-pandora-master-catalog/default/dwbb259ca6/productimages/singlepackshot/",LEFT(A696,FIND("-",A696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696" s="5" t="str">
        <f ca="1">IFERROR(ROWSDUMMYFUNCTION(IF(A696="","",CONCATENATE("https://us.pandora.net/on/demandware.static/-/Sites-pandora-master-catalog/default/dwbb259ca6/productimages/singlepackshot/",LEFT(A696,FIND("-",A696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697" spans="1:4" x14ac:dyDescent="0.25">
      <c r="A697" s="3" t="s">
        <v>699</v>
      </c>
      <c r="B697" s="4">
        <v>49</v>
      </c>
      <c r="C697" s="3" t="str">
        <f ca="1">IFERROR(ROWSDUMMYFUNCTION(IF(A697="","",IFERROR(IMAGE(CONCATENATE("https://us.pandora.net/on/demandware.static/-/Sites-pandora-master-catalog/default/dwbb259ca6/productimages/singlepackshot/",LEFT(A697,FIND("-",A697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697" s="5" t="str">
        <f ca="1">IFERROR(ROWSDUMMYFUNCTION(IF(A697="","",CONCATENATE("https://us.pandora.net/on/demandware.static/-/Sites-pandora-master-catalog/default/dwbb259ca6/productimages/singlepackshot/",LEFT(A697,FIND("-",A697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698" spans="1:4" x14ac:dyDescent="0.25">
      <c r="A698" s="3" t="s">
        <v>700</v>
      </c>
      <c r="B698" s="4">
        <v>49</v>
      </c>
      <c r="C698" s="3" t="str">
        <f ca="1">IFERROR(ROWSDUMMYFUNCTION(IF(A698="","",IFERROR(IMAGE(CONCATENATE("https://us.pandora.net/on/demandware.static/-/Sites-pandora-master-catalog/default/dwbb259ca6/productimages/singlepackshot/",LEFT(A698,FIND("-",A698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698" s="5" t="str">
        <f ca="1">IFERROR(ROWSDUMMYFUNCTION(IF(A698="","",CONCATENATE("https://us.pandora.net/on/demandware.static/-/Sites-pandora-master-catalog/default/dwbb259ca6/productimages/singlepackshot/",LEFT(A698,FIND("-",A698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699" spans="1:4" x14ac:dyDescent="0.25">
      <c r="A699" s="3" t="s">
        <v>701</v>
      </c>
      <c r="B699" s="4">
        <v>49</v>
      </c>
      <c r="C699" s="3" t="str">
        <f ca="1">IFERROR(ROWSDUMMYFUNCTION(IF(A699="","",IFERROR(IMAGE(CONCATENATE("https://us.pandora.net/on/demandware.static/-/Sites-pandora-master-catalog/default/dwbb259ca6/productimages/singlepackshot/",LEFT(A699,FIND("-",A699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699" s="5" t="str">
        <f ca="1">IFERROR(ROWSDUMMYFUNCTION(IF(A699="","",CONCATENATE("https://us.pandora.net/on/demandware.static/-/Sites-pandora-master-catalog/default/dwbb259ca6/productimages/singlepackshot/",LEFT(A699,FIND("-",A699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700" spans="1:4" x14ac:dyDescent="0.25">
      <c r="A700" s="3" t="s">
        <v>702</v>
      </c>
      <c r="B700" s="4">
        <v>49</v>
      </c>
      <c r="C700" s="3" t="str">
        <f ca="1">IFERROR(ROWSDUMMYFUNCTION(IF(A700="","",IFERROR(IMAGE(CONCATENATE("https://us.pandora.net/on/demandware.static/-/Sites-pandora-master-catalog/default/dwbb259ca6/productimages/singlepackshot/",LEFT(A700,FIND("-",A700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700" s="5" t="str">
        <f ca="1">IFERROR(ROWSDUMMYFUNCTION(IF(A700="","",CONCATENATE("https://us.pandora.net/on/demandware.static/-/Sites-pandora-master-catalog/default/dwbb259ca6/productimages/singlepackshot/",LEFT(A700,FIND("-",A700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701" spans="1:4" x14ac:dyDescent="0.25">
      <c r="A701" s="3" t="s">
        <v>703</v>
      </c>
      <c r="B701" s="4">
        <v>49</v>
      </c>
      <c r="C701" s="3" t="str">
        <f ca="1">IFERROR(ROWSDUMMYFUNCTION(IF(A701="","",IFERROR(IMAGE(CONCATENATE("https://us.pandora.net/on/demandware.static/-/Sites-pandora-master-catalog/default/dwbb259ca6/productimages/singlepackshot/",LEFT(A701,FIND("-",A701&amp;"-")-1),"_RGB.png")),""))),"{""url"":""https://us.pandora.net/on/demandware.static/-/Sites-pandora-master-catalog/default/dwbb259ca6/productimages/singlepackshot/183095C00_RGB.png"",""mode"":1}")</f>
        <v>{"url":"https://us.pandora.net/on/demandware.static/-/Sites-pandora-master-catalog/default/dwbb259ca6/productimages/singlepackshot/183095C00_RGB.png","mode":1}</v>
      </c>
      <c r="D701" s="5" t="str">
        <f ca="1">IFERROR(ROWSDUMMYFUNCTION(IF(A701="","",CONCATENATE("https://us.pandora.net/on/demandware.static/-/Sites-pandora-master-catalog/default/dwbb259ca6/productimages/singlepackshot/",LEFT(A701,FIND("-",A701&amp;"-")-1),"_RGB.png"))),"https://us.pandora.net/on/demandware.static/-/Sites-pandora-master-catalog/default/dwbb259ca6/productimages/singlepackshot/183095C00_RGB.png")</f>
        <v>https://us.pandora.net/on/demandware.static/-/Sites-pandora-master-catalog/default/dwbb259ca6/productimages/singlepackshot/183095C00_RGB.png</v>
      </c>
    </row>
    <row r="702" spans="1:4" x14ac:dyDescent="0.25">
      <c r="A702" s="3" t="s">
        <v>704</v>
      </c>
      <c r="B702" s="4">
        <v>99</v>
      </c>
      <c r="C702" s="3" t="str">
        <f ca="1">IFERROR(ROWSDUMMYFUNCTION(IF(A702="","",IFERROR(IMAGE(CONCATENATE("https://us.pandora.net/on/demandware.static/-/Sites-pandora-master-catalog/default/dwbb259ca6/productimages/singlepackshot/",LEFT(A702,FIND("-",A702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2" s="5" t="str">
        <f ca="1">IFERROR(ROWSDUMMYFUNCTION(IF(A702="","",CONCATENATE("https://us.pandora.net/on/demandware.static/-/Sites-pandora-master-catalog/default/dwbb259ca6/productimages/singlepackshot/",LEFT(A702,FIND("-",A702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3" spans="1:4" x14ac:dyDescent="0.25">
      <c r="A703" s="3" t="s">
        <v>705</v>
      </c>
      <c r="B703" s="4">
        <v>99</v>
      </c>
      <c r="C703" s="3" t="str">
        <f ca="1">IFERROR(ROWSDUMMYFUNCTION(IF(A703="","",IFERROR(IMAGE(CONCATENATE("https://us.pandora.net/on/demandware.static/-/Sites-pandora-master-catalog/default/dwbb259ca6/productimages/singlepackshot/",LEFT(A703,FIND("-",A703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3" s="5" t="str">
        <f ca="1">IFERROR(ROWSDUMMYFUNCTION(IF(A703="","",CONCATENATE("https://us.pandora.net/on/demandware.static/-/Sites-pandora-master-catalog/default/dwbb259ca6/productimages/singlepackshot/",LEFT(A703,FIND("-",A703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4" spans="1:4" x14ac:dyDescent="0.25">
      <c r="A704" s="3" t="s">
        <v>706</v>
      </c>
      <c r="B704" s="4">
        <v>99</v>
      </c>
      <c r="C704" s="3" t="str">
        <f ca="1">IFERROR(ROWSDUMMYFUNCTION(IF(A704="","",IFERROR(IMAGE(CONCATENATE("https://us.pandora.net/on/demandware.static/-/Sites-pandora-master-catalog/default/dwbb259ca6/productimages/singlepackshot/",LEFT(A704,FIND("-",A704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4" s="5" t="str">
        <f ca="1">IFERROR(ROWSDUMMYFUNCTION(IF(A704="","",CONCATENATE("https://us.pandora.net/on/demandware.static/-/Sites-pandora-master-catalog/default/dwbb259ca6/productimages/singlepackshot/",LEFT(A704,FIND("-",A704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5" spans="1:4" x14ac:dyDescent="0.25">
      <c r="A705" s="3" t="s">
        <v>707</v>
      </c>
      <c r="B705" s="4">
        <v>99</v>
      </c>
      <c r="C705" s="3" t="str">
        <f ca="1">IFERROR(ROWSDUMMYFUNCTION(IF(A705="","",IFERROR(IMAGE(CONCATENATE("https://us.pandora.net/on/demandware.static/-/Sites-pandora-master-catalog/default/dwbb259ca6/productimages/singlepackshot/",LEFT(A705,FIND("-",A705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5" s="5" t="str">
        <f ca="1">IFERROR(ROWSDUMMYFUNCTION(IF(A705="","",CONCATENATE("https://us.pandora.net/on/demandware.static/-/Sites-pandora-master-catalog/default/dwbb259ca6/productimages/singlepackshot/",LEFT(A705,FIND("-",A705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6" spans="1:4" x14ac:dyDescent="0.25">
      <c r="A706" s="3" t="s">
        <v>708</v>
      </c>
      <c r="B706" s="4">
        <v>99</v>
      </c>
      <c r="C706" s="3" t="str">
        <f ca="1">IFERROR(ROWSDUMMYFUNCTION(IF(A706="","",IFERROR(IMAGE(CONCATENATE("https://us.pandora.net/on/demandware.static/-/Sites-pandora-master-catalog/default/dwbb259ca6/productimages/singlepackshot/",LEFT(A706,FIND("-",A706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6" s="5" t="str">
        <f ca="1">IFERROR(ROWSDUMMYFUNCTION(IF(A706="","",CONCATENATE("https://us.pandora.net/on/demandware.static/-/Sites-pandora-master-catalog/default/dwbb259ca6/productimages/singlepackshot/",LEFT(A706,FIND("-",A706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7" spans="1:4" x14ac:dyDescent="0.25">
      <c r="A707" s="3" t="s">
        <v>709</v>
      </c>
      <c r="B707" s="4">
        <v>99</v>
      </c>
      <c r="C707" s="3" t="str">
        <f ca="1">IFERROR(ROWSDUMMYFUNCTION(IF(A707="","",IFERROR(IMAGE(CONCATENATE("https://us.pandora.net/on/demandware.static/-/Sites-pandora-master-catalog/default/dwbb259ca6/productimages/singlepackshot/",LEFT(A707,FIND("-",A707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7" s="5" t="str">
        <f ca="1">IFERROR(ROWSDUMMYFUNCTION(IF(A707="","",CONCATENATE("https://us.pandora.net/on/demandware.static/-/Sites-pandora-master-catalog/default/dwbb259ca6/productimages/singlepackshot/",LEFT(A707,FIND("-",A707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8" spans="1:4" x14ac:dyDescent="0.25">
      <c r="A708" s="3" t="s">
        <v>710</v>
      </c>
      <c r="B708" s="4">
        <v>99</v>
      </c>
      <c r="C708" s="3" t="str">
        <f ca="1">IFERROR(ROWSDUMMYFUNCTION(IF(A708="","",IFERROR(IMAGE(CONCATENATE("https://us.pandora.net/on/demandware.static/-/Sites-pandora-master-catalog/default/dwbb259ca6/productimages/singlepackshot/",LEFT(A708,FIND("-",A708&amp;"-")-1),"_RGB.png")),""))),"{""url"":""https://us.pandora.net/on/demandware.static/-/Sites-pandora-master-catalog/default/dwbb259ca6/productimages/singlepackshot/183100C01_RGB.png"",""mode"":1}")</f>
        <v>{"url":"https://us.pandora.net/on/demandware.static/-/Sites-pandora-master-catalog/default/dwbb259ca6/productimages/singlepackshot/183100C01_RGB.png","mode":1}</v>
      </c>
      <c r="D708" s="5" t="str">
        <f ca="1">IFERROR(ROWSDUMMYFUNCTION(IF(A708="","",CONCATENATE("https://us.pandora.net/on/demandware.static/-/Sites-pandora-master-catalog/default/dwbb259ca6/productimages/singlepackshot/",LEFT(A708,FIND("-",A708&amp;"-")-1),"_RGB.png"))),"https://us.pandora.net/on/demandware.static/-/Sites-pandora-master-catalog/default/dwbb259ca6/productimages/singlepackshot/183100C01_RGB.png")</f>
        <v>https://us.pandora.net/on/demandware.static/-/Sites-pandora-master-catalog/default/dwbb259ca6/productimages/singlepackshot/183100C01_RGB.png</v>
      </c>
    </row>
    <row r="709" spans="1:4" x14ac:dyDescent="0.25">
      <c r="A709" s="3" t="s">
        <v>711</v>
      </c>
      <c r="B709" s="4">
        <v>129</v>
      </c>
      <c r="C709" s="3" t="str">
        <f ca="1">IFERROR(ROWSDUMMYFUNCTION(IF(A709="","",IFERROR(IMAGE(CONCATENATE("https://us.pandora.net/on/demandware.static/-/Sites-pandora-master-catalog/default/dwbb259ca6/productimages/singlepackshot/",LEFT(A709,FIND("-",A709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09" s="5" t="str">
        <f ca="1">IFERROR(ROWSDUMMYFUNCTION(IF(A709="","",CONCATENATE("https://us.pandora.net/on/demandware.static/-/Sites-pandora-master-catalog/default/dwbb259ca6/productimages/singlepackshot/",LEFT(A709,FIND("-",A709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0" spans="1:4" x14ac:dyDescent="0.25">
      <c r="A710" s="3" t="s">
        <v>712</v>
      </c>
      <c r="B710" s="4">
        <v>129</v>
      </c>
      <c r="C710" s="3" t="str">
        <f ca="1">IFERROR(ROWSDUMMYFUNCTION(IF(A710="","",IFERROR(IMAGE(CONCATENATE("https://us.pandora.net/on/demandware.static/-/Sites-pandora-master-catalog/default/dwbb259ca6/productimages/singlepackshot/",LEFT(A710,FIND("-",A710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10" s="5" t="str">
        <f ca="1">IFERROR(ROWSDUMMYFUNCTION(IF(A710="","",CONCATENATE("https://us.pandora.net/on/demandware.static/-/Sites-pandora-master-catalog/default/dwbb259ca6/productimages/singlepackshot/",LEFT(A710,FIND("-",A710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1" spans="1:4" x14ac:dyDescent="0.25">
      <c r="A711" s="3" t="s">
        <v>713</v>
      </c>
      <c r="B711" s="4">
        <v>129</v>
      </c>
      <c r="C711" s="3" t="str">
        <f ca="1">IFERROR(ROWSDUMMYFUNCTION(IF(A711="","",IFERROR(IMAGE(CONCATENATE("https://us.pandora.net/on/demandware.static/-/Sites-pandora-master-catalog/default/dwbb259ca6/productimages/singlepackshot/",LEFT(A711,FIND("-",A711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11" s="5" t="str">
        <f ca="1">IFERROR(ROWSDUMMYFUNCTION(IF(A711="","",CONCATENATE("https://us.pandora.net/on/demandware.static/-/Sites-pandora-master-catalog/default/dwbb259ca6/productimages/singlepackshot/",LEFT(A711,FIND("-",A711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2" spans="1:4" x14ac:dyDescent="0.25">
      <c r="A712" s="3" t="s">
        <v>714</v>
      </c>
      <c r="B712" s="4">
        <v>129</v>
      </c>
      <c r="C712" s="3" t="str">
        <f ca="1">IFERROR(ROWSDUMMYFUNCTION(IF(A712="","",IFERROR(IMAGE(CONCATENATE("https://us.pandora.net/on/demandware.static/-/Sites-pandora-master-catalog/default/dwbb259ca6/productimages/singlepackshot/",LEFT(A712,FIND("-",A712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12" s="5" t="str">
        <f ca="1">IFERROR(ROWSDUMMYFUNCTION(IF(A712="","",CONCATENATE("https://us.pandora.net/on/demandware.static/-/Sites-pandora-master-catalog/default/dwbb259ca6/productimages/singlepackshot/",LEFT(A712,FIND("-",A712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3" spans="1:4" x14ac:dyDescent="0.25">
      <c r="A713" s="3" t="s">
        <v>715</v>
      </c>
      <c r="B713" s="4">
        <v>129</v>
      </c>
      <c r="C713" s="3" t="str">
        <f ca="1">IFERROR(ROWSDUMMYFUNCTION(IF(A713="","",IFERROR(IMAGE(CONCATENATE("https://us.pandora.net/on/demandware.static/-/Sites-pandora-master-catalog/default/dwbb259ca6/productimages/singlepackshot/",LEFT(A713,FIND("-",A713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13" s="5" t="str">
        <f ca="1">IFERROR(ROWSDUMMYFUNCTION(IF(A713="","",CONCATENATE("https://us.pandora.net/on/demandware.static/-/Sites-pandora-master-catalog/default/dwbb259ca6/productimages/singlepackshot/",LEFT(A713,FIND("-",A713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4" spans="1:4" x14ac:dyDescent="0.25">
      <c r="A714" s="3" t="s">
        <v>716</v>
      </c>
      <c r="B714" s="4">
        <v>129</v>
      </c>
      <c r="C714" s="3" t="str">
        <f ca="1">IFERROR(ROWSDUMMYFUNCTION(IF(A714="","",IFERROR(IMAGE(CONCATENATE("https://us.pandora.net/on/demandware.static/-/Sites-pandora-master-catalog/default/dwbb259ca6/productimages/singlepackshot/",LEFT(A714,FIND("-",A714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14" s="5" t="str">
        <f ca="1">IFERROR(ROWSDUMMYFUNCTION(IF(A714="","",CONCATENATE("https://us.pandora.net/on/demandware.static/-/Sites-pandora-master-catalog/default/dwbb259ca6/productimages/singlepackshot/",LEFT(A714,FIND("-",A714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5" spans="1:4" x14ac:dyDescent="0.25">
      <c r="A715" s="3" t="s">
        <v>717</v>
      </c>
      <c r="B715" s="4">
        <v>129</v>
      </c>
      <c r="C715" s="3" t="str">
        <f ca="1">IFERROR(ROWSDUMMYFUNCTION(IF(A715="","",IFERROR(IMAGE(CONCATENATE("https://us.pandora.net/on/demandware.static/-/Sites-pandora-master-catalog/default/dwbb259ca6/productimages/singlepackshot/",LEFT(A715,FIND("-",A715&amp;"-")-1),"_RGB.png")),""))),"{""url"":""https://us.pandora.net/on/demandware.static/-/Sites-pandora-master-catalog/default/dwbb259ca6/productimages/singlepackshot/186251CZ_RGB.png"",""mode"":1}")</f>
        <v>{"url":"https://us.pandora.net/on/demandware.static/-/Sites-pandora-master-catalog/default/dwbb259ca6/productimages/singlepackshot/186251CZ_RGB.png","mode":1}</v>
      </c>
      <c r="D715" s="5" t="str">
        <f ca="1">IFERROR(ROWSDUMMYFUNCTION(IF(A715="","",CONCATENATE("https://us.pandora.net/on/demandware.static/-/Sites-pandora-master-catalog/default/dwbb259ca6/productimages/singlepackshot/",LEFT(A715,FIND("-",A715&amp;"-")-1),"_RGB.png"))),"https://us.pandora.net/on/demandware.static/-/Sites-pandora-master-catalog/default/dwbb259ca6/productimages/singlepackshot/186251CZ_RGB.png")</f>
        <v>https://us.pandora.net/on/demandware.static/-/Sites-pandora-master-catalog/default/dwbb259ca6/productimages/singlepackshot/186251CZ_RGB.png</v>
      </c>
    </row>
    <row r="716" spans="1:4" x14ac:dyDescent="0.25">
      <c r="A716" s="3" t="s">
        <v>718</v>
      </c>
      <c r="B716" s="4">
        <v>59</v>
      </c>
      <c r="C716" s="3" t="str">
        <f ca="1">IFERROR(ROWSDUMMYFUNCTION(IF(A716="","",IFERROR(IMAGE(CONCATENATE("https://us.pandora.net/on/demandware.static/-/Sites-pandora-master-catalog/default/dwbb259ca6/productimages/singlepackshot/",LEFT(A716,FIND("-",A716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16" s="5" t="str">
        <f ca="1">IFERROR(ROWSDUMMYFUNCTION(IF(A716="","",CONCATENATE("https://us.pandora.net/on/demandware.static/-/Sites-pandora-master-catalog/default/dwbb259ca6/productimages/singlepackshot/",LEFT(A716,FIND("-",A716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17" spans="1:4" x14ac:dyDescent="0.25">
      <c r="A717" s="3" t="s">
        <v>719</v>
      </c>
      <c r="B717" s="4">
        <v>59</v>
      </c>
      <c r="C717" s="3" t="str">
        <f ca="1">IFERROR(ROWSDUMMYFUNCTION(IF(A717="","",IFERROR(IMAGE(CONCATENATE("https://us.pandora.net/on/demandware.static/-/Sites-pandora-master-catalog/default/dwbb259ca6/productimages/singlepackshot/",LEFT(A717,FIND("-",A717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17" s="5" t="str">
        <f ca="1">IFERROR(ROWSDUMMYFUNCTION(IF(A717="","",CONCATENATE("https://us.pandora.net/on/demandware.static/-/Sites-pandora-master-catalog/default/dwbb259ca6/productimages/singlepackshot/",LEFT(A717,FIND("-",A717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18" spans="1:4" x14ac:dyDescent="0.25">
      <c r="A718" s="3" t="s">
        <v>720</v>
      </c>
      <c r="B718" s="4">
        <v>59</v>
      </c>
      <c r="C718" s="3" t="str">
        <f ca="1">IFERROR(ROWSDUMMYFUNCTION(IF(A718="","",IFERROR(IMAGE(CONCATENATE("https://us.pandora.net/on/demandware.static/-/Sites-pandora-master-catalog/default/dwbb259ca6/productimages/singlepackshot/",LEFT(A718,FIND("-",A718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18" s="5" t="str">
        <f ca="1">IFERROR(ROWSDUMMYFUNCTION(IF(A718="","",CONCATENATE("https://us.pandora.net/on/demandware.static/-/Sites-pandora-master-catalog/default/dwbb259ca6/productimages/singlepackshot/",LEFT(A718,FIND("-",A718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19" spans="1:4" x14ac:dyDescent="0.25">
      <c r="A719" s="3" t="s">
        <v>721</v>
      </c>
      <c r="B719" s="4">
        <v>59</v>
      </c>
      <c r="C719" s="3" t="str">
        <f ca="1">IFERROR(ROWSDUMMYFUNCTION(IF(A719="","",IFERROR(IMAGE(CONCATENATE("https://us.pandora.net/on/demandware.static/-/Sites-pandora-master-catalog/default/dwbb259ca6/productimages/singlepackshot/",LEFT(A719,FIND("-",A719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19" s="5" t="str">
        <f ca="1">IFERROR(ROWSDUMMYFUNCTION(IF(A719="","",CONCATENATE("https://us.pandora.net/on/demandware.static/-/Sites-pandora-master-catalog/default/dwbb259ca6/productimages/singlepackshot/",LEFT(A719,FIND("-",A719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20" spans="1:4" x14ac:dyDescent="0.25">
      <c r="A720" s="3" t="s">
        <v>722</v>
      </c>
      <c r="B720" s="4">
        <v>59</v>
      </c>
      <c r="C720" s="3" t="str">
        <f ca="1">IFERROR(ROWSDUMMYFUNCTION(IF(A720="","",IFERROR(IMAGE(CONCATENATE("https://us.pandora.net/on/demandware.static/-/Sites-pandora-master-catalog/default/dwbb259ca6/productimages/singlepackshot/",LEFT(A720,FIND("-",A720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20" s="5" t="str">
        <f ca="1">IFERROR(ROWSDUMMYFUNCTION(IF(A720="","",CONCATENATE("https://us.pandora.net/on/demandware.static/-/Sites-pandora-master-catalog/default/dwbb259ca6/productimages/singlepackshot/",LEFT(A720,FIND("-",A720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21" spans="1:4" x14ac:dyDescent="0.25">
      <c r="A721" s="3" t="s">
        <v>723</v>
      </c>
      <c r="B721" s="4">
        <v>59</v>
      </c>
      <c r="C721" s="3" t="str">
        <f ca="1">IFERROR(ROWSDUMMYFUNCTION(IF(A721="","",IFERROR(IMAGE(CONCATENATE("https://us.pandora.net/on/demandware.static/-/Sites-pandora-master-catalog/default/dwbb259ca6/productimages/singlepackshot/",LEFT(A721,FIND("-",A721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21" s="5" t="str">
        <f ca="1">IFERROR(ROWSDUMMYFUNCTION(IF(A721="","",CONCATENATE("https://us.pandora.net/on/demandware.static/-/Sites-pandora-master-catalog/default/dwbb259ca6/productimages/singlepackshot/",LEFT(A721,FIND("-",A721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22" spans="1:4" x14ac:dyDescent="0.25">
      <c r="A722" s="3" t="s">
        <v>724</v>
      </c>
      <c r="B722" s="4">
        <v>59</v>
      </c>
      <c r="C722" s="3" t="str">
        <f ca="1">IFERROR(ROWSDUMMYFUNCTION(IF(A722="","",IFERROR(IMAGE(CONCATENATE("https://us.pandora.net/on/demandware.static/-/Sites-pandora-master-catalog/default/dwbb259ca6/productimages/singlepackshot/",LEFT(A722,FIND("-",A722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22" s="5" t="str">
        <f ca="1">IFERROR(ROWSDUMMYFUNCTION(IF(A722="","",CONCATENATE("https://us.pandora.net/on/demandware.static/-/Sites-pandora-master-catalog/default/dwbb259ca6/productimages/singlepackshot/",LEFT(A722,FIND("-",A722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23" spans="1:4" x14ac:dyDescent="0.25">
      <c r="A723" s="3" t="s">
        <v>725</v>
      </c>
      <c r="B723" s="4">
        <v>59</v>
      </c>
      <c r="C723" s="3" t="str">
        <f ca="1">IFERROR(ROWSDUMMYFUNCTION(IF(A723="","",IFERROR(IMAGE(CONCATENATE("https://us.pandora.net/on/demandware.static/-/Sites-pandora-master-catalog/default/dwbb259ca6/productimages/singlepackshot/",LEFT(A723,FIND("-",A723&amp;"-")-1),"_RGB.png")),""))),"{""url"":""https://us.pandora.net/on/demandware.static/-/Sites-pandora-master-catalog/default/dwbb259ca6/productimages/singlepackshot/186316C02_RGB.png"",""mode"":1}")</f>
        <v>{"url":"https://us.pandora.net/on/demandware.static/-/Sites-pandora-master-catalog/default/dwbb259ca6/productimages/singlepackshot/186316C02_RGB.png","mode":1}</v>
      </c>
      <c r="D723" s="5" t="str">
        <f ca="1">IFERROR(ROWSDUMMYFUNCTION(IF(A723="","",CONCATENATE("https://us.pandora.net/on/demandware.static/-/Sites-pandora-master-catalog/default/dwbb259ca6/productimages/singlepackshot/",LEFT(A723,FIND("-",A723&amp;"-")-1),"_RGB.png"))),"https://us.pandora.net/on/demandware.static/-/Sites-pandora-master-catalog/default/dwbb259ca6/productimages/singlepackshot/186316C02_RGB.png")</f>
        <v>https://us.pandora.net/on/demandware.static/-/Sites-pandora-master-catalog/default/dwbb259ca6/productimages/singlepackshot/186316C02_RGB.png</v>
      </c>
    </row>
    <row r="724" spans="1:4" x14ac:dyDescent="0.25">
      <c r="A724" s="3" t="s">
        <v>726</v>
      </c>
      <c r="B724" s="4">
        <v>59</v>
      </c>
      <c r="C724" s="3" t="str">
        <f ca="1">IFERROR(ROWSDUMMYFUNCTION(IF(A724="","",IFERROR(IMAGE(CONCATENATE("https://us.pandora.net/on/demandware.static/-/Sites-pandora-master-catalog/default/dwbb259ca6/productimages/singlepackshot/",LEFT(A724,FIND("-",A724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24" s="5" t="str">
        <f ca="1">IFERROR(ROWSDUMMYFUNCTION(IF(A724="","",CONCATENATE("https://us.pandora.net/on/demandware.static/-/Sites-pandora-master-catalog/default/dwbb259ca6/productimages/singlepackshot/",LEFT(A724,FIND("-",A724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25" spans="1:4" x14ac:dyDescent="0.25">
      <c r="A725" s="3" t="s">
        <v>727</v>
      </c>
      <c r="B725" s="4">
        <v>59</v>
      </c>
      <c r="C725" s="3" t="str">
        <f ca="1">IFERROR(ROWSDUMMYFUNCTION(IF(A725="","",IFERROR(IMAGE(CONCATENATE("https://us.pandora.net/on/demandware.static/-/Sites-pandora-master-catalog/default/dwbb259ca6/productimages/singlepackshot/",LEFT(A725,FIND("-",A725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25" s="5" t="str">
        <f ca="1">IFERROR(ROWSDUMMYFUNCTION(IF(A725="","",CONCATENATE("https://us.pandora.net/on/demandware.static/-/Sites-pandora-master-catalog/default/dwbb259ca6/productimages/singlepackshot/",LEFT(A725,FIND("-",A725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26" spans="1:4" x14ac:dyDescent="0.25">
      <c r="A726" s="3" t="s">
        <v>728</v>
      </c>
      <c r="B726" s="4">
        <v>59</v>
      </c>
      <c r="C726" s="3" t="str">
        <f ca="1">IFERROR(ROWSDUMMYFUNCTION(IF(A726="","",IFERROR(IMAGE(CONCATENATE("https://us.pandora.net/on/demandware.static/-/Sites-pandora-master-catalog/default/dwbb259ca6/productimages/singlepackshot/",LEFT(A726,FIND("-",A726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26" s="5" t="str">
        <f ca="1">IFERROR(ROWSDUMMYFUNCTION(IF(A726="","",CONCATENATE("https://us.pandora.net/on/demandware.static/-/Sites-pandora-master-catalog/default/dwbb259ca6/productimages/singlepackshot/",LEFT(A726,FIND("-",A726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27" spans="1:4" x14ac:dyDescent="0.25">
      <c r="A727" s="3" t="s">
        <v>729</v>
      </c>
      <c r="B727" s="4">
        <v>59</v>
      </c>
      <c r="C727" s="3" t="str">
        <f ca="1">IFERROR(ROWSDUMMYFUNCTION(IF(A727="","",IFERROR(IMAGE(CONCATENATE("https://us.pandora.net/on/demandware.static/-/Sites-pandora-master-catalog/default/dwbb259ca6/productimages/singlepackshot/",LEFT(A727,FIND("-",A727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27" s="5" t="str">
        <f ca="1">IFERROR(ROWSDUMMYFUNCTION(IF(A727="","",CONCATENATE("https://us.pandora.net/on/demandware.static/-/Sites-pandora-master-catalog/default/dwbb259ca6/productimages/singlepackshot/",LEFT(A727,FIND("-",A727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28" spans="1:4" x14ac:dyDescent="0.25">
      <c r="A728" s="3" t="s">
        <v>730</v>
      </c>
      <c r="B728" s="4">
        <v>59</v>
      </c>
      <c r="C728" s="3" t="str">
        <f ca="1">IFERROR(ROWSDUMMYFUNCTION(IF(A728="","",IFERROR(IMAGE(CONCATENATE("https://us.pandora.net/on/demandware.static/-/Sites-pandora-master-catalog/default/dwbb259ca6/productimages/singlepackshot/",LEFT(A728,FIND("-",A728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28" s="5" t="str">
        <f ca="1">IFERROR(ROWSDUMMYFUNCTION(IF(A728="","",CONCATENATE("https://us.pandora.net/on/demandware.static/-/Sites-pandora-master-catalog/default/dwbb259ca6/productimages/singlepackshot/",LEFT(A728,FIND("-",A728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29" spans="1:4" x14ac:dyDescent="0.25">
      <c r="A729" s="3" t="s">
        <v>731</v>
      </c>
      <c r="B729" s="4">
        <v>59</v>
      </c>
      <c r="C729" s="3" t="str">
        <f ca="1">IFERROR(ROWSDUMMYFUNCTION(IF(A729="","",IFERROR(IMAGE(CONCATENATE("https://us.pandora.net/on/demandware.static/-/Sites-pandora-master-catalog/default/dwbb259ca6/productimages/singlepackshot/",LEFT(A729,FIND("-",A729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29" s="5" t="str">
        <f ca="1">IFERROR(ROWSDUMMYFUNCTION(IF(A729="","",CONCATENATE("https://us.pandora.net/on/demandware.static/-/Sites-pandora-master-catalog/default/dwbb259ca6/productimages/singlepackshot/",LEFT(A729,FIND("-",A729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30" spans="1:4" x14ac:dyDescent="0.25">
      <c r="A730" s="3" t="s">
        <v>732</v>
      </c>
      <c r="B730" s="4">
        <v>59</v>
      </c>
      <c r="C730" s="3" t="str">
        <f ca="1">IFERROR(ROWSDUMMYFUNCTION(IF(A730="","",IFERROR(IMAGE(CONCATENATE("https://us.pandora.net/on/demandware.static/-/Sites-pandora-master-catalog/default/dwbb259ca6/productimages/singlepackshot/",LEFT(A730,FIND("-",A730&amp;"-")-1),"_RGB.png")),""))),"{""url"":""https://us.pandora.net/on/demandware.static/-/Sites-pandora-master-catalog/default/dwbb259ca6/productimages/singlepackshot/186316CZ_RGB.png"",""mode"":1}")</f>
        <v>{"url":"https://us.pandora.net/on/demandware.static/-/Sites-pandora-master-catalog/default/dwbb259ca6/productimages/singlepackshot/186316CZ_RGB.png","mode":1}</v>
      </c>
      <c r="D730" s="5" t="str">
        <f ca="1">IFERROR(ROWSDUMMYFUNCTION(IF(A730="","",CONCATENATE("https://us.pandora.net/on/demandware.static/-/Sites-pandora-master-catalog/default/dwbb259ca6/productimages/singlepackshot/",LEFT(A730,FIND("-",A730&amp;"-")-1),"_RGB.png"))),"https://us.pandora.net/on/demandware.static/-/Sites-pandora-master-catalog/default/dwbb259ca6/productimages/singlepackshot/186316CZ_RGB.png")</f>
        <v>https://us.pandora.net/on/demandware.static/-/Sites-pandora-master-catalog/default/dwbb259ca6/productimages/singlepackshot/186316CZ_RGB.png</v>
      </c>
    </row>
    <row r="731" spans="1:4" x14ac:dyDescent="0.25">
      <c r="A731" s="3" t="s">
        <v>733</v>
      </c>
      <c r="B731" s="4">
        <v>99</v>
      </c>
      <c r="C731" s="3" t="str">
        <f ca="1">IFERROR(ROWSDUMMYFUNCTION(IF(A731="","",IFERROR(IMAGE(CONCATENATE("https://us.pandora.net/on/demandware.static/-/Sites-pandora-master-catalog/default/dwbb259ca6/productimages/singlepackshot/",LEFT(A731,FIND("-",A731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1" s="5" t="str">
        <f ca="1">IFERROR(ROWSDUMMYFUNCTION(IF(A731="","",CONCATENATE("https://us.pandora.net/on/demandware.static/-/Sites-pandora-master-catalog/default/dwbb259ca6/productimages/singlepackshot/",LEFT(A731,FIND("-",A731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2" spans="1:4" x14ac:dyDescent="0.25">
      <c r="A732" s="3" t="s">
        <v>734</v>
      </c>
      <c r="B732" s="4">
        <v>99</v>
      </c>
      <c r="C732" s="3" t="str">
        <f ca="1">IFERROR(ROWSDUMMYFUNCTION(IF(A732="","",IFERROR(IMAGE(CONCATENATE("https://us.pandora.net/on/demandware.static/-/Sites-pandora-master-catalog/default/dwbb259ca6/productimages/singlepackshot/",LEFT(A732,FIND("-",A732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2" s="5" t="str">
        <f ca="1">IFERROR(ROWSDUMMYFUNCTION(IF(A732="","",CONCATENATE("https://us.pandora.net/on/demandware.static/-/Sites-pandora-master-catalog/default/dwbb259ca6/productimages/singlepackshot/",LEFT(A732,FIND("-",A732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3" spans="1:4" x14ac:dyDescent="0.25">
      <c r="A733" s="3" t="s">
        <v>735</v>
      </c>
      <c r="B733" s="4">
        <v>99</v>
      </c>
      <c r="C733" s="3" t="str">
        <f ca="1">IFERROR(ROWSDUMMYFUNCTION(IF(A733="","",IFERROR(IMAGE(CONCATENATE("https://us.pandora.net/on/demandware.static/-/Sites-pandora-master-catalog/default/dwbb259ca6/productimages/singlepackshot/",LEFT(A733,FIND("-",A733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3" s="5" t="str">
        <f ca="1">IFERROR(ROWSDUMMYFUNCTION(IF(A733="","",CONCATENATE("https://us.pandora.net/on/demandware.static/-/Sites-pandora-master-catalog/default/dwbb259ca6/productimages/singlepackshot/",LEFT(A733,FIND("-",A733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4" spans="1:4" x14ac:dyDescent="0.25">
      <c r="A734" s="3" t="s">
        <v>736</v>
      </c>
      <c r="B734" s="4">
        <v>99</v>
      </c>
      <c r="C734" s="3" t="str">
        <f ca="1">IFERROR(ROWSDUMMYFUNCTION(IF(A734="","",IFERROR(IMAGE(CONCATENATE("https://us.pandora.net/on/demandware.static/-/Sites-pandora-master-catalog/default/dwbb259ca6/productimages/singlepackshot/",LEFT(A734,FIND("-",A734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4" s="5" t="str">
        <f ca="1">IFERROR(ROWSDUMMYFUNCTION(IF(A734="","",CONCATENATE("https://us.pandora.net/on/demandware.static/-/Sites-pandora-master-catalog/default/dwbb259ca6/productimages/singlepackshot/",LEFT(A734,FIND("-",A734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5" spans="1:4" x14ac:dyDescent="0.25">
      <c r="A735" s="3" t="s">
        <v>737</v>
      </c>
      <c r="B735" s="4">
        <v>99</v>
      </c>
      <c r="C735" s="3" t="str">
        <f ca="1">IFERROR(ROWSDUMMYFUNCTION(IF(A735="","",IFERROR(IMAGE(CONCATENATE("https://us.pandora.net/on/demandware.static/-/Sites-pandora-master-catalog/default/dwbb259ca6/productimages/singlepackshot/",LEFT(A735,FIND("-",A735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5" s="5" t="str">
        <f ca="1">IFERROR(ROWSDUMMYFUNCTION(IF(A735="","",CONCATENATE("https://us.pandora.net/on/demandware.static/-/Sites-pandora-master-catalog/default/dwbb259ca6/productimages/singlepackshot/",LEFT(A735,FIND("-",A735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6" spans="1:4" x14ac:dyDescent="0.25">
      <c r="A736" s="3" t="s">
        <v>738</v>
      </c>
      <c r="B736" s="4">
        <v>99</v>
      </c>
      <c r="C736" s="3" t="str">
        <f ca="1">IFERROR(ROWSDUMMYFUNCTION(IF(A736="","",IFERROR(IMAGE(CONCATENATE("https://us.pandora.net/on/demandware.static/-/Sites-pandora-master-catalog/default/dwbb259ca6/productimages/singlepackshot/",LEFT(A736,FIND("-",A736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6" s="5" t="str">
        <f ca="1">IFERROR(ROWSDUMMYFUNCTION(IF(A736="","",CONCATENATE("https://us.pandora.net/on/demandware.static/-/Sites-pandora-master-catalog/default/dwbb259ca6/productimages/singlepackshot/",LEFT(A736,FIND("-",A736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7" spans="1:4" x14ac:dyDescent="0.25">
      <c r="A737" s="3" t="s">
        <v>739</v>
      </c>
      <c r="B737" s="4">
        <v>99</v>
      </c>
      <c r="C737" s="3" t="str">
        <f ca="1">IFERROR(ROWSDUMMYFUNCTION(IF(A737="","",IFERROR(IMAGE(CONCATENATE("https://us.pandora.net/on/demandware.static/-/Sites-pandora-master-catalog/default/dwbb259ca6/productimages/singlepackshot/",LEFT(A737,FIND("-",A737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7" s="5" t="str">
        <f ca="1">IFERROR(ROWSDUMMYFUNCTION(IF(A737="","",CONCATENATE("https://us.pandora.net/on/demandware.static/-/Sites-pandora-master-catalog/default/dwbb259ca6/productimages/singlepackshot/",LEFT(A737,FIND("-",A737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8" spans="1:4" x14ac:dyDescent="0.25">
      <c r="A738" s="3" t="s">
        <v>740</v>
      </c>
      <c r="B738" s="4">
        <v>99</v>
      </c>
      <c r="C738" s="3" t="str">
        <f ca="1">IFERROR(ROWSDUMMYFUNCTION(IF(A738="","",IFERROR(IMAGE(CONCATENATE("https://us.pandora.net/on/demandware.static/-/Sites-pandora-master-catalog/default/dwbb259ca6/productimages/singlepackshot/",LEFT(A738,FIND("-",A738&amp;"-")-1),"_RGB.png")),""))),"{""url"":""https://us.pandora.net/on/demandware.static/-/Sites-pandora-master-catalog/default/dwbb259ca6/productimages/singlepackshot/187736CZ_RGB.png"",""mode"":1}")</f>
        <v>{"url":"https://us.pandora.net/on/demandware.static/-/Sites-pandora-master-catalog/default/dwbb259ca6/productimages/singlepackshot/187736CZ_RGB.png","mode":1}</v>
      </c>
      <c r="D738" s="5" t="str">
        <f ca="1">IFERROR(ROWSDUMMYFUNCTION(IF(A738="","",CONCATENATE("https://us.pandora.net/on/demandware.static/-/Sites-pandora-master-catalog/default/dwbb259ca6/productimages/singlepackshot/",LEFT(A738,FIND("-",A738&amp;"-")-1),"_RGB.png"))),"https://us.pandora.net/on/demandware.static/-/Sites-pandora-master-catalog/default/dwbb259ca6/productimages/singlepackshot/187736CZ_RGB.png")</f>
        <v>https://us.pandora.net/on/demandware.static/-/Sites-pandora-master-catalog/default/dwbb259ca6/productimages/singlepackshot/187736CZ_RGB.png</v>
      </c>
    </row>
    <row r="739" spans="1:4" x14ac:dyDescent="0.25">
      <c r="A739" s="3" t="s">
        <v>741</v>
      </c>
      <c r="B739" s="4">
        <v>99</v>
      </c>
      <c r="C739" s="3" t="str">
        <f ca="1">IFERROR(ROWSDUMMYFUNCTION(IF(A739="","",IFERROR(IMAGE(CONCATENATE("https://us.pandora.net/on/demandware.static/-/Sites-pandora-master-catalog/default/dwbb259ca6/productimages/singlepackshot/",LEFT(A739,FIND("-",A739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39" s="5" t="str">
        <f ca="1">IFERROR(ROWSDUMMYFUNCTION(IF(A739="","",CONCATENATE("https://us.pandora.net/on/demandware.static/-/Sites-pandora-master-catalog/default/dwbb259ca6/productimages/singlepackshot/",LEFT(A739,FIND("-",A739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0" spans="1:4" x14ac:dyDescent="0.25">
      <c r="A740" s="3" t="s">
        <v>742</v>
      </c>
      <c r="B740" s="4">
        <v>99</v>
      </c>
      <c r="C740" s="3" t="str">
        <f ca="1">IFERROR(ROWSDUMMYFUNCTION(IF(A740="","",IFERROR(IMAGE(CONCATENATE("https://us.pandora.net/on/demandware.static/-/Sites-pandora-master-catalog/default/dwbb259ca6/productimages/singlepackshot/",LEFT(A740,FIND("-",A740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40" s="5" t="str">
        <f ca="1">IFERROR(ROWSDUMMYFUNCTION(IF(A740="","",CONCATENATE("https://us.pandora.net/on/demandware.static/-/Sites-pandora-master-catalog/default/dwbb259ca6/productimages/singlepackshot/",LEFT(A740,FIND("-",A740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1" spans="1:4" x14ac:dyDescent="0.25">
      <c r="A741" s="3" t="s">
        <v>743</v>
      </c>
      <c r="B741" s="4">
        <v>99</v>
      </c>
      <c r="C741" s="3" t="str">
        <f ca="1">IFERROR(ROWSDUMMYFUNCTION(IF(A741="","",IFERROR(IMAGE(CONCATENATE("https://us.pandora.net/on/demandware.static/-/Sites-pandora-master-catalog/default/dwbb259ca6/productimages/singlepackshot/",LEFT(A741,FIND("-",A741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41" s="5" t="str">
        <f ca="1">IFERROR(ROWSDUMMYFUNCTION(IF(A741="","",CONCATENATE("https://us.pandora.net/on/demandware.static/-/Sites-pandora-master-catalog/default/dwbb259ca6/productimages/singlepackshot/",LEFT(A741,FIND("-",A741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2" spans="1:4" x14ac:dyDescent="0.25">
      <c r="A742" s="3" t="s">
        <v>744</v>
      </c>
      <c r="B742" s="4">
        <v>99</v>
      </c>
      <c r="C742" s="3" t="str">
        <f ca="1">IFERROR(ROWSDUMMYFUNCTION(IF(A742="","",IFERROR(IMAGE(CONCATENATE("https://us.pandora.net/on/demandware.static/-/Sites-pandora-master-catalog/default/dwbb259ca6/productimages/singlepackshot/",LEFT(A742,FIND("-",A742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42" s="5" t="str">
        <f ca="1">IFERROR(ROWSDUMMYFUNCTION(IF(A742="","",CONCATENATE("https://us.pandora.net/on/demandware.static/-/Sites-pandora-master-catalog/default/dwbb259ca6/productimages/singlepackshot/",LEFT(A742,FIND("-",A742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3" spans="1:4" x14ac:dyDescent="0.25">
      <c r="A743" s="3" t="s">
        <v>745</v>
      </c>
      <c r="B743" s="4">
        <v>99</v>
      </c>
      <c r="C743" s="3" t="str">
        <f ca="1">IFERROR(ROWSDUMMYFUNCTION(IF(A743="","",IFERROR(IMAGE(CONCATENATE("https://us.pandora.net/on/demandware.static/-/Sites-pandora-master-catalog/default/dwbb259ca6/productimages/singlepackshot/",LEFT(A743,FIND("-",A743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43" s="5" t="str">
        <f ca="1">IFERROR(ROWSDUMMYFUNCTION(IF(A743="","",CONCATENATE("https://us.pandora.net/on/demandware.static/-/Sites-pandora-master-catalog/default/dwbb259ca6/productimages/singlepackshot/",LEFT(A743,FIND("-",A743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4" spans="1:4" x14ac:dyDescent="0.25">
      <c r="A744" s="3" t="s">
        <v>746</v>
      </c>
      <c r="B744" s="4">
        <v>99</v>
      </c>
      <c r="C744" s="3" t="str">
        <f ca="1">IFERROR(ROWSDUMMYFUNCTION(IF(A744="","",IFERROR(IMAGE(CONCATENATE("https://us.pandora.net/on/demandware.static/-/Sites-pandora-master-catalog/default/dwbb259ca6/productimages/singlepackshot/",LEFT(A744,FIND("-",A744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44" s="5" t="str">
        <f ca="1">IFERROR(ROWSDUMMYFUNCTION(IF(A744="","",CONCATENATE("https://us.pandora.net/on/demandware.static/-/Sites-pandora-master-catalog/default/dwbb259ca6/productimages/singlepackshot/",LEFT(A744,FIND("-",A744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5" spans="1:4" x14ac:dyDescent="0.25">
      <c r="A745" s="3" t="s">
        <v>747</v>
      </c>
      <c r="B745" s="4">
        <v>99</v>
      </c>
      <c r="C745" s="3" t="str">
        <f ca="1">IFERROR(ROWSDUMMYFUNCTION(IF(A745="","",IFERROR(IMAGE(CONCATENATE("https://us.pandora.net/on/demandware.static/-/Sites-pandora-master-catalog/default/dwbb259ca6/productimages/singlepackshot/",LEFT(A745,FIND("-",A745&amp;"-")-1),"_RGB.png")),""))),"{""url"":""https://us.pandora.net/on/demandware.static/-/Sites-pandora-master-catalog/default/dwbb259ca6/productimages/singlepackshot/188289C01_RGB.png"",""mode"":1}")</f>
        <v>{"url":"https://us.pandora.net/on/demandware.static/-/Sites-pandora-master-catalog/default/dwbb259ca6/productimages/singlepackshot/188289C01_RGB.png","mode":1}</v>
      </c>
      <c r="D745" s="5" t="str">
        <f ca="1">IFERROR(ROWSDUMMYFUNCTION(IF(A745="","",CONCATENATE("https://us.pandora.net/on/demandware.static/-/Sites-pandora-master-catalog/default/dwbb259ca6/productimages/singlepackshot/",LEFT(A745,FIND("-",A745&amp;"-")-1),"_RGB.png"))),"https://us.pandora.net/on/demandware.static/-/Sites-pandora-master-catalog/default/dwbb259ca6/productimages/singlepackshot/188289C01_RGB.png")</f>
        <v>https://us.pandora.net/on/demandware.static/-/Sites-pandora-master-catalog/default/dwbb259ca6/productimages/singlepackshot/188289C01_RGB.png</v>
      </c>
    </row>
    <row r="746" spans="1:4" x14ac:dyDescent="0.25">
      <c r="A746" s="3" t="s">
        <v>748</v>
      </c>
      <c r="B746" s="4">
        <v>99</v>
      </c>
      <c r="C746" s="3" t="str">
        <f ca="1">IFERROR(ROWSDUMMYFUNCTION(IF(A746="","",IFERROR(IMAGE(CONCATENATE("https://us.pandora.net/on/demandware.static/-/Sites-pandora-master-catalog/default/dwbb259ca6/productimages/singlepackshot/",LEFT(A746,FIND("-",A746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46" s="5" t="str">
        <f ca="1">IFERROR(ROWSDUMMYFUNCTION(IF(A746="","",CONCATENATE("https://us.pandora.net/on/demandware.static/-/Sites-pandora-master-catalog/default/dwbb259ca6/productimages/singlepackshot/",LEFT(A746,FIND("-",A746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47" spans="1:4" x14ac:dyDescent="0.25">
      <c r="A747" s="3" t="s">
        <v>749</v>
      </c>
      <c r="B747" s="4">
        <v>99</v>
      </c>
      <c r="C747" s="3" t="str">
        <f ca="1">IFERROR(ROWSDUMMYFUNCTION(IF(A747="","",IFERROR(IMAGE(CONCATENATE("https://us.pandora.net/on/demandware.static/-/Sites-pandora-master-catalog/default/dwbb259ca6/productimages/singlepackshot/",LEFT(A747,FIND("-",A747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47" s="5" t="str">
        <f ca="1">IFERROR(ROWSDUMMYFUNCTION(IF(A747="","",CONCATENATE("https://us.pandora.net/on/demandware.static/-/Sites-pandora-master-catalog/default/dwbb259ca6/productimages/singlepackshot/",LEFT(A747,FIND("-",A747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48" spans="1:4" x14ac:dyDescent="0.25">
      <c r="A748" s="3" t="s">
        <v>750</v>
      </c>
      <c r="B748" s="4">
        <v>99</v>
      </c>
      <c r="C748" s="3" t="str">
        <f ca="1">IFERROR(ROWSDUMMYFUNCTION(IF(A748="","",IFERROR(IMAGE(CONCATENATE("https://us.pandora.net/on/demandware.static/-/Sites-pandora-master-catalog/default/dwbb259ca6/productimages/singlepackshot/",LEFT(A748,FIND("-",A748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48" s="5" t="str">
        <f ca="1">IFERROR(ROWSDUMMYFUNCTION(IF(A748="","",CONCATENATE("https://us.pandora.net/on/demandware.static/-/Sites-pandora-master-catalog/default/dwbb259ca6/productimages/singlepackshot/",LEFT(A748,FIND("-",A748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49" spans="1:4" x14ac:dyDescent="0.25">
      <c r="A749" s="3" t="s">
        <v>751</v>
      </c>
      <c r="B749" s="4">
        <v>99</v>
      </c>
      <c r="C749" s="3" t="str">
        <f ca="1">IFERROR(ROWSDUMMYFUNCTION(IF(A749="","",IFERROR(IMAGE(CONCATENATE("https://us.pandora.net/on/demandware.static/-/Sites-pandora-master-catalog/default/dwbb259ca6/productimages/singlepackshot/",LEFT(A749,FIND("-",A749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49" s="5" t="str">
        <f ca="1">IFERROR(ROWSDUMMYFUNCTION(IF(A749="","",CONCATENATE("https://us.pandora.net/on/demandware.static/-/Sites-pandora-master-catalog/default/dwbb259ca6/productimages/singlepackshot/",LEFT(A749,FIND("-",A749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50" spans="1:4" x14ac:dyDescent="0.25">
      <c r="A750" s="3" t="s">
        <v>752</v>
      </c>
      <c r="B750" s="4">
        <v>99</v>
      </c>
      <c r="C750" s="3" t="str">
        <f ca="1">IFERROR(ROWSDUMMYFUNCTION(IF(A750="","",IFERROR(IMAGE(CONCATENATE("https://us.pandora.net/on/demandware.static/-/Sites-pandora-master-catalog/default/dwbb259ca6/productimages/singlepackshot/",LEFT(A750,FIND("-",A750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50" s="5" t="str">
        <f ca="1">IFERROR(ROWSDUMMYFUNCTION(IF(A750="","",CONCATENATE("https://us.pandora.net/on/demandware.static/-/Sites-pandora-master-catalog/default/dwbb259ca6/productimages/singlepackshot/",LEFT(A750,FIND("-",A750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51" spans="1:4" x14ac:dyDescent="0.25">
      <c r="A751" s="3" t="s">
        <v>753</v>
      </c>
      <c r="B751" s="4">
        <v>99</v>
      </c>
      <c r="C751" s="3" t="str">
        <f ca="1">IFERROR(ROWSDUMMYFUNCTION(IF(A751="","",IFERROR(IMAGE(CONCATENATE("https://us.pandora.net/on/demandware.static/-/Sites-pandora-master-catalog/default/dwbb259ca6/productimages/singlepackshot/",LEFT(A751,FIND("-",A751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51" s="5" t="str">
        <f ca="1">IFERROR(ROWSDUMMYFUNCTION(IF(A751="","",CONCATENATE("https://us.pandora.net/on/demandware.static/-/Sites-pandora-master-catalog/default/dwbb259ca6/productimages/singlepackshot/",LEFT(A751,FIND("-",A751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52" spans="1:4" x14ac:dyDescent="0.25">
      <c r="A752" s="3" t="s">
        <v>754</v>
      </c>
      <c r="B752" s="4">
        <v>99</v>
      </c>
      <c r="C752" s="3" t="str">
        <f ca="1">IFERROR(ROWSDUMMYFUNCTION(IF(A752="","",IFERROR(IMAGE(CONCATENATE("https://us.pandora.net/on/demandware.static/-/Sites-pandora-master-catalog/default/dwbb259ca6/productimages/singlepackshot/",LEFT(A752,FIND("-",A752&amp;"-")-1),"_RGB.png")),""))),"{""url"":""https://us.pandora.net/on/demandware.static/-/Sites-pandora-master-catalog/default/dwbb259ca6/productimages/singlepackshot/188421C01_RGB.png"",""mode"":1}")</f>
        <v>{"url":"https://us.pandora.net/on/demandware.static/-/Sites-pandora-master-catalog/default/dwbb259ca6/productimages/singlepackshot/188421C01_RGB.png","mode":1}</v>
      </c>
      <c r="D752" s="5" t="str">
        <f ca="1">IFERROR(ROWSDUMMYFUNCTION(IF(A752="","",CONCATENATE("https://us.pandora.net/on/demandware.static/-/Sites-pandora-master-catalog/default/dwbb259ca6/productimages/singlepackshot/",LEFT(A752,FIND("-",A752&amp;"-")-1),"_RGB.png"))),"https://us.pandora.net/on/demandware.static/-/Sites-pandora-master-catalog/default/dwbb259ca6/productimages/singlepackshot/188421C01_RGB.png")</f>
        <v>https://us.pandora.net/on/demandware.static/-/Sites-pandora-master-catalog/default/dwbb259ca6/productimages/singlepackshot/188421C01_RGB.png</v>
      </c>
    </row>
    <row r="753" spans="1:4" x14ac:dyDescent="0.25">
      <c r="A753" s="3" t="s">
        <v>755</v>
      </c>
      <c r="B753" s="4">
        <v>99</v>
      </c>
      <c r="C753" s="3" t="str">
        <f ca="1">IFERROR(ROWSDUMMYFUNCTION(IF(A753="","",IFERROR(IMAGE(CONCATENATE("https://us.pandora.net/on/demandware.static/-/Sites-pandora-master-catalog/default/dwbb259ca6/productimages/singlepackshot/",LEFT(A753,FIND("-",A753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3" s="5" t="str">
        <f ca="1">IFERROR(ROWSDUMMYFUNCTION(IF(A753="","",CONCATENATE("https://us.pandora.net/on/demandware.static/-/Sites-pandora-master-catalog/default/dwbb259ca6/productimages/singlepackshot/",LEFT(A753,FIND("-",A753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54" spans="1:4" x14ac:dyDescent="0.25">
      <c r="A754" s="3" t="s">
        <v>756</v>
      </c>
      <c r="B754" s="4">
        <v>99</v>
      </c>
      <c r="C754" s="3" t="str">
        <f ca="1">IFERROR(ROWSDUMMYFUNCTION(IF(A754="","",IFERROR(IMAGE(CONCATENATE("https://us.pandora.net/on/demandware.static/-/Sites-pandora-master-catalog/default/dwbb259ca6/productimages/singlepackshot/",LEFT(A754,FIND("-",A754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4" s="5" t="str">
        <f ca="1">IFERROR(ROWSDUMMYFUNCTION(IF(A754="","",CONCATENATE("https://us.pandora.net/on/demandware.static/-/Sites-pandora-master-catalog/default/dwbb259ca6/productimages/singlepackshot/",LEFT(A754,FIND("-",A754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55" spans="1:4" x14ac:dyDescent="0.25">
      <c r="A755" s="3" t="s">
        <v>757</v>
      </c>
      <c r="B755" s="4">
        <v>99</v>
      </c>
      <c r="C755" s="3" t="str">
        <f ca="1">IFERROR(ROWSDUMMYFUNCTION(IF(A755="","",IFERROR(IMAGE(CONCATENATE("https://us.pandora.net/on/demandware.static/-/Sites-pandora-master-catalog/default/dwbb259ca6/productimages/singlepackshot/",LEFT(A755,FIND("-",A755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5" s="5" t="str">
        <f ca="1">IFERROR(ROWSDUMMYFUNCTION(IF(A755="","",CONCATENATE("https://us.pandora.net/on/demandware.static/-/Sites-pandora-master-catalog/default/dwbb259ca6/productimages/singlepackshot/",LEFT(A755,FIND("-",A755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56" spans="1:4" x14ac:dyDescent="0.25">
      <c r="A756" s="3" t="s">
        <v>758</v>
      </c>
      <c r="B756" s="4">
        <v>99</v>
      </c>
      <c r="C756" s="3" t="str">
        <f ca="1">IFERROR(ROWSDUMMYFUNCTION(IF(A756="","",IFERROR(IMAGE(CONCATENATE("https://us.pandora.net/on/demandware.static/-/Sites-pandora-master-catalog/default/dwbb259ca6/productimages/singlepackshot/",LEFT(A756,FIND("-",A756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6" s="5" t="str">
        <f ca="1">IFERROR(ROWSDUMMYFUNCTION(IF(A756="","",CONCATENATE("https://us.pandora.net/on/demandware.static/-/Sites-pandora-master-catalog/default/dwbb259ca6/productimages/singlepackshot/",LEFT(A756,FIND("-",A756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57" spans="1:4" x14ac:dyDescent="0.25">
      <c r="A757" s="3" t="s">
        <v>759</v>
      </c>
      <c r="B757" s="4">
        <v>99</v>
      </c>
      <c r="C757" s="3" t="str">
        <f ca="1">IFERROR(ROWSDUMMYFUNCTION(IF(A757="","",IFERROR(IMAGE(CONCATENATE("https://us.pandora.net/on/demandware.static/-/Sites-pandora-master-catalog/default/dwbb259ca6/productimages/singlepackshot/",LEFT(A757,FIND("-",A757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7" s="5" t="str">
        <f ca="1">IFERROR(ROWSDUMMYFUNCTION(IF(A757="","",CONCATENATE("https://us.pandora.net/on/demandware.static/-/Sites-pandora-master-catalog/default/dwbb259ca6/productimages/singlepackshot/",LEFT(A757,FIND("-",A757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58" spans="1:4" x14ac:dyDescent="0.25">
      <c r="A758" s="3" t="s">
        <v>760</v>
      </c>
      <c r="B758" s="4">
        <v>99</v>
      </c>
      <c r="C758" s="3" t="str">
        <f ca="1">IFERROR(ROWSDUMMYFUNCTION(IF(A758="","",IFERROR(IMAGE(CONCATENATE("https://us.pandora.net/on/demandware.static/-/Sites-pandora-master-catalog/default/dwbb259ca6/productimages/singlepackshot/",LEFT(A758,FIND("-",A758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8" s="5" t="str">
        <f ca="1">IFERROR(ROWSDUMMYFUNCTION(IF(A758="","",CONCATENATE("https://us.pandora.net/on/demandware.static/-/Sites-pandora-master-catalog/default/dwbb259ca6/productimages/singlepackshot/",LEFT(A758,FIND("-",A758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59" spans="1:4" x14ac:dyDescent="0.25">
      <c r="A759" s="3" t="s">
        <v>761</v>
      </c>
      <c r="B759" s="4">
        <v>99</v>
      </c>
      <c r="C759" s="3" t="str">
        <f ca="1">IFERROR(ROWSDUMMYFUNCTION(IF(A759="","",IFERROR(IMAGE(CONCATENATE("https://us.pandora.net/on/demandware.static/-/Sites-pandora-master-catalog/default/dwbb259ca6/productimages/singlepackshot/",LEFT(A759,FIND("-",A759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59" s="5" t="str">
        <f ca="1">IFERROR(ROWSDUMMYFUNCTION(IF(A759="","",CONCATENATE("https://us.pandora.net/on/demandware.static/-/Sites-pandora-master-catalog/default/dwbb259ca6/productimages/singlepackshot/",LEFT(A759,FIND("-",A759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60" spans="1:4" x14ac:dyDescent="0.25">
      <c r="A760" s="3" t="s">
        <v>762</v>
      </c>
      <c r="B760" s="4">
        <v>99</v>
      </c>
      <c r="C760" s="3" t="str">
        <f ca="1">IFERROR(ROWSDUMMYFUNCTION(IF(A760="","",IFERROR(IMAGE(CONCATENATE("https://us.pandora.net/on/demandware.static/-/Sites-pandora-master-catalog/default/dwbb259ca6/productimages/singlepackshot/",LEFT(A760,FIND("-",A760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60" s="5" t="str">
        <f ca="1">IFERROR(ROWSDUMMYFUNCTION(IF(A760="","",CONCATENATE("https://us.pandora.net/on/demandware.static/-/Sites-pandora-master-catalog/default/dwbb259ca6/productimages/singlepackshot/",LEFT(A760,FIND("-",A760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61" spans="1:4" x14ac:dyDescent="0.25">
      <c r="A761" s="3" t="s">
        <v>763</v>
      </c>
      <c r="B761" s="4">
        <v>99</v>
      </c>
      <c r="C761" s="3" t="str">
        <f ca="1">IFERROR(ROWSDUMMYFUNCTION(IF(A761="","",IFERROR(IMAGE(CONCATENATE("https://us.pandora.net/on/demandware.static/-/Sites-pandora-master-catalog/default/dwbb259ca6/productimages/singlepackshot/",LEFT(A761,FIND("-",A761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61" s="5" t="str">
        <f ca="1">IFERROR(ROWSDUMMYFUNCTION(IF(A761="","",CONCATENATE("https://us.pandora.net/on/demandware.static/-/Sites-pandora-master-catalog/default/dwbb259ca6/productimages/singlepackshot/",LEFT(A761,FIND("-",A761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62" spans="1:4" x14ac:dyDescent="0.25">
      <c r="A762" s="3" t="s">
        <v>764</v>
      </c>
      <c r="B762" s="4">
        <v>99</v>
      </c>
      <c r="C762" s="3" t="str">
        <f ca="1">IFERROR(ROWSDUMMYFUNCTION(IF(A762="","",IFERROR(IMAGE(CONCATENATE("https://us.pandora.net/on/demandware.static/-/Sites-pandora-master-catalog/default/dwbb259ca6/productimages/singlepackshot/",LEFT(A762,FIND("-",A762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62" s="5" t="str">
        <f ca="1">IFERROR(ROWSDUMMYFUNCTION(IF(A762="","",CONCATENATE("https://us.pandora.net/on/demandware.static/-/Sites-pandora-master-catalog/default/dwbb259ca6/productimages/singlepackshot/",LEFT(A762,FIND("-",A762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63" spans="1:4" x14ac:dyDescent="0.25">
      <c r="A763" s="3" t="s">
        <v>765</v>
      </c>
      <c r="B763" s="4">
        <v>99</v>
      </c>
      <c r="C763" s="3" t="str">
        <f ca="1">IFERROR(ROWSDUMMYFUNCTION(IF(A763="","",IFERROR(IMAGE(CONCATENATE("https://us.pandora.net/on/demandware.static/-/Sites-pandora-master-catalog/default/dwbb259ca6/productimages/singlepackshot/",LEFT(A763,FIND("-",A763&amp;"-")-1),"_RGB.png")),""))),"{""url"":""https://us.pandora.net/on/demandware.static/-/Sites-pandora-master-catalog/default/dwbb259ca6/productimages/singlepackshot/188421C02_RGB.png"",""mode"":1}")</f>
        <v>{"url":"https://us.pandora.net/on/demandware.static/-/Sites-pandora-master-catalog/default/dwbb259ca6/productimages/singlepackshot/188421C02_RGB.png","mode":1}</v>
      </c>
      <c r="D763" s="5" t="str">
        <f ca="1">IFERROR(ROWSDUMMYFUNCTION(IF(A763="","",CONCATENATE("https://us.pandora.net/on/demandware.static/-/Sites-pandora-master-catalog/default/dwbb259ca6/productimages/singlepackshot/",LEFT(A763,FIND("-",A763&amp;"-")-1),"_RGB.png"))),"https://us.pandora.net/on/demandware.static/-/Sites-pandora-master-catalog/default/dwbb259ca6/productimages/singlepackshot/188421C02_RGB.png")</f>
        <v>https://us.pandora.net/on/demandware.static/-/Sites-pandora-master-catalog/default/dwbb259ca6/productimages/singlepackshot/188421C02_RGB.png</v>
      </c>
    </row>
    <row r="764" spans="1:4" x14ac:dyDescent="0.25">
      <c r="A764" s="3" t="s">
        <v>766</v>
      </c>
      <c r="B764" s="4">
        <v>99</v>
      </c>
      <c r="C764" s="3" t="str">
        <f ca="1">IFERROR(ROWSDUMMYFUNCTION(IF(A764="","",IFERROR(IMAGE(CONCATENATE("https://us.pandora.net/on/demandware.static/-/Sites-pandora-master-catalog/default/dwbb259ca6/productimages/singlepackshot/",LEFT(A764,FIND("-",A764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64" s="5" t="str">
        <f ca="1">IFERROR(ROWSDUMMYFUNCTION(IF(A764="","",CONCATENATE("https://us.pandora.net/on/demandware.static/-/Sites-pandora-master-catalog/default/dwbb259ca6/productimages/singlepackshot/",LEFT(A764,FIND("-",A764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65" spans="1:4" x14ac:dyDescent="0.25">
      <c r="A765" s="3" t="s">
        <v>767</v>
      </c>
      <c r="B765" s="4">
        <v>99</v>
      </c>
      <c r="C765" s="3" t="str">
        <f ca="1">IFERROR(ROWSDUMMYFUNCTION(IF(A765="","",IFERROR(IMAGE(CONCATENATE("https://us.pandora.net/on/demandware.static/-/Sites-pandora-master-catalog/default/dwbb259ca6/productimages/singlepackshot/",LEFT(A765,FIND("-",A765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65" s="5" t="str">
        <f ca="1">IFERROR(ROWSDUMMYFUNCTION(IF(A765="","",CONCATENATE("https://us.pandora.net/on/demandware.static/-/Sites-pandora-master-catalog/default/dwbb259ca6/productimages/singlepackshot/",LEFT(A765,FIND("-",A765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66" spans="1:4" x14ac:dyDescent="0.25">
      <c r="A766" s="3" t="s">
        <v>768</v>
      </c>
      <c r="B766" s="4">
        <v>99</v>
      </c>
      <c r="C766" s="3" t="str">
        <f ca="1">IFERROR(ROWSDUMMYFUNCTION(IF(A766="","",IFERROR(IMAGE(CONCATENATE("https://us.pandora.net/on/demandware.static/-/Sites-pandora-master-catalog/default/dwbb259ca6/productimages/singlepackshot/",LEFT(A766,FIND("-",A766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66" s="5" t="str">
        <f ca="1">IFERROR(ROWSDUMMYFUNCTION(IF(A766="","",CONCATENATE("https://us.pandora.net/on/demandware.static/-/Sites-pandora-master-catalog/default/dwbb259ca6/productimages/singlepackshot/",LEFT(A766,FIND("-",A766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67" spans="1:4" x14ac:dyDescent="0.25">
      <c r="A767" s="3" t="s">
        <v>769</v>
      </c>
      <c r="B767" s="4">
        <v>99</v>
      </c>
      <c r="C767" s="3" t="str">
        <f ca="1">IFERROR(ROWSDUMMYFUNCTION(IF(A767="","",IFERROR(IMAGE(CONCATENATE("https://us.pandora.net/on/demandware.static/-/Sites-pandora-master-catalog/default/dwbb259ca6/productimages/singlepackshot/",LEFT(A767,FIND("-",A767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67" s="5" t="str">
        <f ca="1">IFERROR(ROWSDUMMYFUNCTION(IF(A767="","",CONCATENATE("https://us.pandora.net/on/demandware.static/-/Sites-pandora-master-catalog/default/dwbb259ca6/productimages/singlepackshot/",LEFT(A767,FIND("-",A767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68" spans="1:4" x14ac:dyDescent="0.25">
      <c r="A768" s="3" t="s">
        <v>770</v>
      </c>
      <c r="B768" s="4">
        <v>99</v>
      </c>
      <c r="C768" s="3" t="str">
        <f ca="1">IFERROR(ROWSDUMMYFUNCTION(IF(A768="","",IFERROR(IMAGE(CONCATENATE("https://us.pandora.net/on/demandware.static/-/Sites-pandora-master-catalog/default/dwbb259ca6/productimages/singlepackshot/",LEFT(A768,FIND("-",A768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68" s="5" t="str">
        <f ca="1">IFERROR(ROWSDUMMYFUNCTION(IF(A768="","",CONCATENATE("https://us.pandora.net/on/demandware.static/-/Sites-pandora-master-catalog/default/dwbb259ca6/productimages/singlepackshot/",LEFT(A768,FIND("-",A768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69" spans="1:4" x14ac:dyDescent="0.25">
      <c r="A769" s="3" t="s">
        <v>771</v>
      </c>
      <c r="B769" s="4">
        <v>99</v>
      </c>
      <c r="C769" s="3" t="str">
        <f ca="1">IFERROR(ROWSDUMMYFUNCTION(IF(A769="","",IFERROR(IMAGE(CONCATENATE("https://us.pandora.net/on/demandware.static/-/Sites-pandora-master-catalog/default/dwbb259ca6/productimages/singlepackshot/",LEFT(A769,FIND("-",A769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69" s="5" t="str">
        <f ca="1">IFERROR(ROWSDUMMYFUNCTION(IF(A769="","",CONCATENATE("https://us.pandora.net/on/demandware.static/-/Sites-pandora-master-catalog/default/dwbb259ca6/productimages/singlepackshot/",LEFT(A769,FIND("-",A769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70" spans="1:4" x14ac:dyDescent="0.25">
      <c r="A770" s="3" t="s">
        <v>772</v>
      </c>
      <c r="B770" s="4">
        <v>99</v>
      </c>
      <c r="C770" s="3" t="str">
        <f ca="1">IFERROR(ROWSDUMMYFUNCTION(IF(A770="","",IFERROR(IMAGE(CONCATENATE("https://us.pandora.net/on/demandware.static/-/Sites-pandora-master-catalog/default/dwbb259ca6/productimages/singlepackshot/",LEFT(A770,FIND("-",A770&amp;"-")-1),"_RGB.png")),""))),"{""url"":""https://us.pandora.net/on/demandware.static/-/Sites-pandora-master-catalog/default/dwbb259ca6/productimages/singlepackshot/188421C03_RGB.png"",""mode"":1}")</f>
        <v>{"url":"https://us.pandora.net/on/demandware.static/-/Sites-pandora-master-catalog/default/dwbb259ca6/productimages/singlepackshot/188421C03_RGB.png","mode":1}</v>
      </c>
      <c r="D770" s="5" t="str">
        <f ca="1">IFERROR(ROWSDUMMYFUNCTION(IF(A770="","",CONCATENATE("https://us.pandora.net/on/demandware.static/-/Sites-pandora-master-catalog/default/dwbb259ca6/productimages/singlepackshot/",LEFT(A770,FIND("-",A770&amp;"-")-1),"_RGB.png"))),"https://us.pandora.net/on/demandware.static/-/Sites-pandora-master-catalog/default/dwbb259ca6/productimages/singlepackshot/188421C03_RGB.png")</f>
        <v>https://us.pandora.net/on/demandware.static/-/Sites-pandora-master-catalog/default/dwbb259ca6/productimages/singlepackshot/188421C03_RGB.png</v>
      </c>
    </row>
    <row r="771" spans="1:4" x14ac:dyDescent="0.25">
      <c r="A771" s="3" t="s">
        <v>773</v>
      </c>
      <c r="B771" s="4">
        <v>99</v>
      </c>
      <c r="C771" s="3" t="str">
        <f ca="1">IFERROR(ROWSDUMMYFUNCTION(IF(A771="","",IFERROR(IMAGE(CONCATENATE("https://us.pandora.net/on/demandware.static/-/Sites-pandora-master-catalog/default/dwbb259ca6/productimages/singlepackshot/",LEFT(A771,FIND("-",A771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1" s="5" t="str">
        <f ca="1">IFERROR(ROWSDUMMYFUNCTION(IF(A771="","",CONCATENATE("https://us.pandora.net/on/demandware.static/-/Sites-pandora-master-catalog/default/dwbb259ca6/productimages/singlepackshot/",LEFT(A771,FIND("-",A771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2" spans="1:4" x14ac:dyDescent="0.25">
      <c r="A772" s="3" t="s">
        <v>774</v>
      </c>
      <c r="B772" s="4">
        <v>99</v>
      </c>
      <c r="C772" s="3" t="str">
        <f ca="1">IFERROR(ROWSDUMMYFUNCTION(IF(A772="","",IFERROR(IMAGE(CONCATENATE("https://us.pandora.net/on/demandware.static/-/Sites-pandora-master-catalog/default/dwbb259ca6/productimages/singlepackshot/",LEFT(A772,FIND("-",A772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2" s="5" t="str">
        <f ca="1">IFERROR(ROWSDUMMYFUNCTION(IF(A772="","",CONCATENATE("https://us.pandora.net/on/demandware.static/-/Sites-pandora-master-catalog/default/dwbb259ca6/productimages/singlepackshot/",LEFT(A772,FIND("-",A772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3" spans="1:4" x14ac:dyDescent="0.25">
      <c r="A773" s="3" t="s">
        <v>775</v>
      </c>
      <c r="B773" s="4">
        <v>99</v>
      </c>
      <c r="C773" s="3" t="str">
        <f ca="1">IFERROR(ROWSDUMMYFUNCTION(IF(A773="","",IFERROR(IMAGE(CONCATENATE("https://us.pandora.net/on/demandware.static/-/Sites-pandora-master-catalog/default/dwbb259ca6/productimages/singlepackshot/",LEFT(A773,FIND("-",A773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3" s="5" t="str">
        <f ca="1">IFERROR(ROWSDUMMYFUNCTION(IF(A773="","",CONCATENATE("https://us.pandora.net/on/demandware.static/-/Sites-pandora-master-catalog/default/dwbb259ca6/productimages/singlepackshot/",LEFT(A773,FIND("-",A773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4" spans="1:4" x14ac:dyDescent="0.25">
      <c r="A774" s="3" t="s">
        <v>776</v>
      </c>
      <c r="B774" s="4">
        <v>99</v>
      </c>
      <c r="C774" s="3" t="str">
        <f ca="1">IFERROR(ROWSDUMMYFUNCTION(IF(A774="","",IFERROR(IMAGE(CONCATENATE("https://us.pandora.net/on/demandware.static/-/Sites-pandora-master-catalog/default/dwbb259ca6/productimages/singlepackshot/",LEFT(A774,FIND("-",A774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4" s="5" t="str">
        <f ca="1">IFERROR(ROWSDUMMYFUNCTION(IF(A774="","",CONCATENATE("https://us.pandora.net/on/demandware.static/-/Sites-pandora-master-catalog/default/dwbb259ca6/productimages/singlepackshot/",LEFT(A774,FIND("-",A774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5" spans="1:4" x14ac:dyDescent="0.25">
      <c r="A775" s="3" t="s">
        <v>777</v>
      </c>
      <c r="B775" s="4">
        <v>99</v>
      </c>
      <c r="C775" s="3" t="str">
        <f ca="1">IFERROR(ROWSDUMMYFUNCTION(IF(A775="","",IFERROR(IMAGE(CONCATENATE("https://us.pandora.net/on/demandware.static/-/Sites-pandora-master-catalog/default/dwbb259ca6/productimages/singlepackshot/",LEFT(A775,FIND("-",A775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5" s="5" t="str">
        <f ca="1">IFERROR(ROWSDUMMYFUNCTION(IF(A775="","",CONCATENATE("https://us.pandora.net/on/demandware.static/-/Sites-pandora-master-catalog/default/dwbb259ca6/productimages/singlepackshot/",LEFT(A775,FIND("-",A775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6" spans="1:4" x14ac:dyDescent="0.25">
      <c r="A776" s="3" t="s">
        <v>778</v>
      </c>
      <c r="B776" s="4">
        <v>99</v>
      </c>
      <c r="C776" s="3" t="str">
        <f ca="1">IFERROR(ROWSDUMMYFUNCTION(IF(A776="","",IFERROR(IMAGE(CONCATENATE("https://us.pandora.net/on/demandware.static/-/Sites-pandora-master-catalog/default/dwbb259ca6/productimages/singlepackshot/",LEFT(A776,FIND("-",A776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6" s="5" t="str">
        <f ca="1">IFERROR(ROWSDUMMYFUNCTION(IF(A776="","",CONCATENATE("https://us.pandora.net/on/demandware.static/-/Sites-pandora-master-catalog/default/dwbb259ca6/productimages/singlepackshot/",LEFT(A776,FIND("-",A776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7" spans="1:4" x14ac:dyDescent="0.25">
      <c r="A777" s="3" t="s">
        <v>779</v>
      </c>
      <c r="B777" s="4">
        <v>99</v>
      </c>
      <c r="C777" s="3" t="str">
        <f ca="1">IFERROR(ROWSDUMMYFUNCTION(IF(A777="","",IFERROR(IMAGE(CONCATENATE("https://us.pandora.net/on/demandware.static/-/Sites-pandora-master-catalog/default/dwbb259ca6/productimages/singlepackshot/",LEFT(A777,FIND("-",A777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7" s="5" t="str">
        <f ca="1">IFERROR(ROWSDUMMYFUNCTION(IF(A777="","",CONCATENATE("https://us.pandora.net/on/demandware.static/-/Sites-pandora-master-catalog/default/dwbb259ca6/productimages/singlepackshot/",LEFT(A777,FIND("-",A777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8" spans="1:4" x14ac:dyDescent="0.25">
      <c r="A778" s="3" t="s">
        <v>780</v>
      </c>
      <c r="B778" s="4">
        <v>99</v>
      </c>
      <c r="C778" s="3" t="str">
        <f ca="1">IFERROR(ROWSDUMMYFUNCTION(IF(A778="","",IFERROR(IMAGE(CONCATENATE("https://us.pandora.net/on/demandware.static/-/Sites-pandora-master-catalog/default/dwbb259ca6/productimages/singlepackshot/",LEFT(A778,FIND("-",A778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8" s="5" t="str">
        <f ca="1">IFERROR(ROWSDUMMYFUNCTION(IF(A778="","",CONCATENATE("https://us.pandora.net/on/demandware.static/-/Sites-pandora-master-catalog/default/dwbb259ca6/productimages/singlepackshot/",LEFT(A778,FIND("-",A778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79" spans="1:4" x14ac:dyDescent="0.25">
      <c r="A779" s="3" t="s">
        <v>781</v>
      </c>
      <c r="B779" s="4">
        <v>99</v>
      </c>
      <c r="C779" s="3" t="str">
        <f ca="1">IFERROR(ROWSDUMMYFUNCTION(IF(A779="","",IFERROR(IMAGE(CONCATENATE("https://us.pandora.net/on/demandware.static/-/Sites-pandora-master-catalog/default/dwbb259ca6/productimages/singlepackshot/",LEFT(A779,FIND("-",A779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79" s="5" t="str">
        <f ca="1">IFERROR(ROWSDUMMYFUNCTION(IF(A779="","",CONCATENATE("https://us.pandora.net/on/demandware.static/-/Sites-pandora-master-catalog/default/dwbb259ca6/productimages/singlepackshot/",LEFT(A779,FIND("-",A779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80" spans="1:4" x14ac:dyDescent="0.25">
      <c r="A780" s="3" t="s">
        <v>782</v>
      </c>
      <c r="B780" s="4">
        <v>99</v>
      </c>
      <c r="C780" s="3" t="str">
        <f ca="1">IFERROR(ROWSDUMMYFUNCTION(IF(A780="","",IFERROR(IMAGE(CONCATENATE("https://us.pandora.net/on/demandware.static/-/Sites-pandora-master-catalog/default/dwbb259ca6/productimages/singlepackshot/",LEFT(A780,FIND("-",A780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80" s="5" t="str">
        <f ca="1">IFERROR(ROWSDUMMYFUNCTION(IF(A780="","",CONCATENATE("https://us.pandora.net/on/demandware.static/-/Sites-pandora-master-catalog/default/dwbb259ca6/productimages/singlepackshot/",LEFT(A780,FIND("-",A780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81" spans="1:4" x14ac:dyDescent="0.25">
      <c r="A781" s="3" t="s">
        <v>783</v>
      </c>
      <c r="B781" s="4">
        <v>99</v>
      </c>
      <c r="C781" s="3" t="str">
        <f ca="1">IFERROR(ROWSDUMMYFUNCTION(IF(A781="","",IFERROR(IMAGE(CONCATENATE("https://us.pandora.net/on/demandware.static/-/Sites-pandora-master-catalog/default/dwbb259ca6/productimages/singlepackshot/",LEFT(A781,FIND("-",A781&amp;"-")-1),"_RGB.png")),""))),"{""url"":""https://us.pandora.net/on/demandware.static/-/Sites-pandora-master-catalog/default/dwbb259ca6/productimages/singlepackshot/188421C04_RGB.png"",""mode"":1}")</f>
        <v>{"url":"https://us.pandora.net/on/demandware.static/-/Sites-pandora-master-catalog/default/dwbb259ca6/productimages/singlepackshot/188421C04_RGB.png","mode":1}</v>
      </c>
      <c r="D781" s="5" t="str">
        <f ca="1">IFERROR(ROWSDUMMYFUNCTION(IF(A781="","",CONCATENATE("https://us.pandora.net/on/demandware.static/-/Sites-pandora-master-catalog/default/dwbb259ca6/productimages/singlepackshot/",LEFT(A781,FIND("-",A781&amp;"-")-1),"_RGB.png"))),"https://us.pandora.net/on/demandware.static/-/Sites-pandora-master-catalog/default/dwbb259ca6/productimages/singlepackshot/188421C04_RGB.png")</f>
        <v>https://us.pandora.net/on/demandware.static/-/Sites-pandora-master-catalog/default/dwbb259ca6/productimages/singlepackshot/188421C04_RGB.png</v>
      </c>
    </row>
    <row r="782" spans="1:4" x14ac:dyDescent="0.25">
      <c r="A782" s="3" t="s">
        <v>784</v>
      </c>
      <c r="B782" s="4">
        <v>99</v>
      </c>
      <c r="C782" s="3" t="str">
        <f ca="1">IFERROR(ROWSDUMMYFUNCTION(IF(A782="","",IFERROR(IMAGE(CONCATENATE("https://us.pandora.net/on/demandware.static/-/Sites-pandora-master-catalog/default/dwbb259ca6/productimages/singlepackshot/",LEFT(A782,FIND("-",A782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2" s="5" t="str">
        <f ca="1">IFERROR(ROWSDUMMYFUNCTION(IF(A782="","",CONCATENATE("https://us.pandora.net/on/demandware.static/-/Sites-pandora-master-catalog/default/dwbb259ca6/productimages/singlepackshot/",LEFT(A782,FIND("-",A782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3" spans="1:4" x14ac:dyDescent="0.25">
      <c r="A783" s="3" t="s">
        <v>785</v>
      </c>
      <c r="B783" s="4">
        <v>99</v>
      </c>
      <c r="C783" s="3" t="str">
        <f ca="1">IFERROR(ROWSDUMMYFUNCTION(IF(A783="","",IFERROR(IMAGE(CONCATENATE("https://us.pandora.net/on/demandware.static/-/Sites-pandora-master-catalog/default/dwbb259ca6/productimages/singlepackshot/",LEFT(A783,FIND("-",A783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3" s="5" t="str">
        <f ca="1">IFERROR(ROWSDUMMYFUNCTION(IF(A783="","",CONCATENATE("https://us.pandora.net/on/demandware.static/-/Sites-pandora-master-catalog/default/dwbb259ca6/productimages/singlepackshot/",LEFT(A783,FIND("-",A783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4" spans="1:4" x14ac:dyDescent="0.25">
      <c r="A784" s="3" t="s">
        <v>786</v>
      </c>
      <c r="B784" s="4">
        <v>99</v>
      </c>
      <c r="C784" s="3" t="str">
        <f ca="1">IFERROR(ROWSDUMMYFUNCTION(IF(A784="","",IFERROR(IMAGE(CONCATENATE("https://us.pandora.net/on/demandware.static/-/Sites-pandora-master-catalog/default/dwbb259ca6/productimages/singlepackshot/",LEFT(A784,FIND("-",A784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4" s="5" t="str">
        <f ca="1">IFERROR(ROWSDUMMYFUNCTION(IF(A784="","",CONCATENATE("https://us.pandora.net/on/demandware.static/-/Sites-pandora-master-catalog/default/dwbb259ca6/productimages/singlepackshot/",LEFT(A784,FIND("-",A784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5" spans="1:4" x14ac:dyDescent="0.25">
      <c r="A785" s="3" t="s">
        <v>787</v>
      </c>
      <c r="B785" s="4">
        <v>99</v>
      </c>
      <c r="C785" s="3" t="str">
        <f ca="1">IFERROR(ROWSDUMMYFUNCTION(IF(A785="","",IFERROR(IMAGE(CONCATENATE("https://us.pandora.net/on/demandware.static/-/Sites-pandora-master-catalog/default/dwbb259ca6/productimages/singlepackshot/",LEFT(A785,FIND("-",A785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5" s="5" t="str">
        <f ca="1">IFERROR(ROWSDUMMYFUNCTION(IF(A785="","",CONCATENATE("https://us.pandora.net/on/demandware.static/-/Sites-pandora-master-catalog/default/dwbb259ca6/productimages/singlepackshot/",LEFT(A785,FIND("-",A785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6" spans="1:4" x14ac:dyDescent="0.25">
      <c r="A786" s="3" t="s">
        <v>788</v>
      </c>
      <c r="B786" s="4">
        <v>99</v>
      </c>
      <c r="C786" s="3" t="str">
        <f ca="1">IFERROR(ROWSDUMMYFUNCTION(IF(A786="","",IFERROR(IMAGE(CONCATENATE("https://us.pandora.net/on/demandware.static/-/Sites-pandora-master-catalog/default/dwbb259ca6/productimages/singlepackshot/",LEFT(A786,FIND("-",A786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6" s="5" t="str">
        <f ca="1">IFERROR(ROWSDUMMYFUNCTION(IF(A786="","",CONCATENATE("https://us.pandora.net/on/demandware.static/-/Sites-pandora-master-catalog/default/dwbb259ca6/productimages/singlepackshot/",LEFT(A786,FIND("-",A786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7" spans="1:4" x14ac:dyDescent="0.25">
      <c r="A787" s="3" t="s">
        <v>789</v>
      </c>
      <c r="B787" s="4">
        <v>99</v>
      </c>
      <c r="C787" s="3" t="str">
        <f ca="1">IFERROR(ROWSDUMMYFUNCTION(IF(A787="","",IFERROR(IMAGE(CONCATENATE("https://us.pandora.net/on/demandware.static/-/Sites-pandora-master-catalog/default/dwbb259ca6/productimages/singlepackshot/",LEFT(A787,FIND("-",A787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7" s="5" t="str">
        <f ca="1">IFERROR(ROWSDUMMYFUNCTION(IF(A787="","",CONCATENATE("https://us.pandora.net/on/demandware.static/-/Sites-pandora-master-catalog/default/dwbb259ca6/productimages/singlepackshot/",LEFT(A787,FIND("-",A787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8" spans="1:4" x14ac:dyDescent="0.25">
      <c r="A788" s="3" t="s">
        <v>790</v>
      </c>
      <c r="B788" s="4">
        <v>99</v>
      </c>
      <c r="C788" s="3" t="str">
        <f ca="1">IFERROR(ROWSDUMMYFUNCTION(IF(A788="","",IFERROR(IMAGE(CONCATENATE("https://us.pandora.net/on/demandware.static/-/Sites-pandora-master-catalog/default/dwbb259ca6/productimages/singlepackshot/",LEFT(A788,FIND("-",A788&amp;"-")-1),"_RGB.png")),""))),"{""url"":""https://us.pandora.net/on/demandware.static/-/Sites-pandora-master-catalog/default/dwbb259ca6/productimages/singlepackshot/188862C01_RGB.png"",""mode"":1}")</f>
        <v>{"url":"https://us.pandora.net/on/demandware.static/-/Sites-pandora-master-catalog/default/dwbb259ca6/productimages/singlepackshot/188862C01_RGB.png","mode":1}</v>
      </c>
      <c r="D788" s="5" t="str">
        <f ca="1">IFERROR(ROWSDUMMYFUNCTION(IF(A788="","",CONCATENATE("https://us.pandora.net/on/demandware.static/-/Sites-pandora-master-catalog/default/dwbb259ca6/productimages/singlepackshot/",LEFT(A788,FIND("-",A788&amp;"-")-1),"_RGB.png"))),"https://us.pandora.net/on/demandware.static/-/Sites-pandora-master-catalog/default/dwbb259ca6/productimages/singlepackshot/188862C01_RGB.png")</f>
        <v>https://us.pandora.net/on/demandware.static/-/Sites-pandora-master-catalog/default/dwbb259ca6/productimages/singlepackshot/188862C01_RGB.png</v>
      </c>
    </row>
    <row r="789" spans="1:4" x14ac:dyDescent="0.25">
      <c r="A789" s="3" t="s">
        <v>791</v>
      </c>
      <c r="B789" s="4">
        <v>129</v>
      </c>
      <c r="C789" s="3" t="str">
        <f ca="1">IFERROR(ROWSDUMMYFUNCTION(IF(A789="","",IFERROR(IMAGE(CONCATENATE("https://us.pandora.net/on/demandware.static/-/Sites-pandora-master-catalog/default/dwbb259ca6/productimages/singlepackshot/",LEFT(A789,FIND("-",A789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89" s="5" t="str">
        <f ca="1">IFERROR(ROWSDUMMYFUNCTION(IF(A789="","",CONCATENATE("https://us.pandora.net/on/demandware.static/-/Sites-pandora-master-catalog/default/dwbb259ca6/productimages/singlepackshot/",LEFT(A789,FIND("-",A789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0" spans="1:4" x14ac:dyDescent="0.25">
      <c r="A790" s="3" t="s">
        <v>792</v>
      </c>
      <c r="B790" s="4">
        <v>129</v>
      </c>
      <c r="C790" s="3" t="str">
        <f ca="1">IFERROR(ROWSDUMMYFUNCTION(IF(A790="","",IFERROR(IMAGE(CONCATENATE("https://us.pandora.net/on/demandware.static/-/Sites-pandora-master-catalog/default/dwbb259ca6/productimages/singlepackshot/",LEFT(A790,FIND("-",A790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90" s="5" t="str">
        <f ca="1">IFERROR(ROWSDUMMYFUNCTION(IF(A790="","",CONCATENATE("https://us.pandora.net/on/demandware.static/-/Sites-pandora-master-catalog/default/dwbb259ca6/productimages/singlepackshot/",LEFT(A790,FIND("-",A790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1" spans="1:4" x14ac:dyDescent="0.25">
      <c r="A791" s="3" t="s">
        <v>793</v>
      </c>
      <c r="B791" s="4">
        <v>129</v>
      </c>
      <c r="C791" s="3" t="str">
        <f ca="1">IFERROR(ROWSDUMMYFUNCTION(IF(A791="","",IFERROR(IMAGE(CONCATENATE("https://us.pandora.net/on/demandware.static/-/Sites-pandora-master-catalog/default/dwbb259ca6/productimages/singlepackshot/",LEFT(A791,FIND("-",A791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91" s="5" t="str">
        <f ca="1">IFERROR(ROWSDUMMYFUNCTION(IF(A791="","",CONCATENATE("https://us.pandora.net/on/demandware.static/-/Sites-pandora-master-catalog/default/dwbb259ca6/productimages/singlepackshot/",LEFT(A791,FIND("-",A791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2" spans="1:4" x14ac:dyDescent="0.25">
      <c r="A792" s="3" t="s">
        <v>794</v>
      </c>
      <c r="B792" s="4">
        <v>129</v>
      </c>
      <c r="C792" s="3" t="str">
        <f ca="1">IFERROR(ROWSDUMMYFUNCTION(IF(A792="","",IFERROR(IMAGE(CONCATENATE("https://us.pandora.net/on/demandware.static/-/Sites-pandora-master-catalog/default/dwbb259ca6/productimages/singlepackshot/",LEFT(A792,FIND("-",A792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92" s="5" t="str">
        <f ca="1">IFERROR(ROWSDUMMYFUNCTION(IF(A792="","",CONCATENATE("https://us.pandora.net/on/demandware.static/-/Sites-pandora-master-catalog/default/dwbb259ca6/productimages/singlepackshot/",LEFT(A792,FIND("-",A792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3" spans="1:4" x14ac:dyDescent="0.25">
      <c r="A793" s="3" t="s">
        <v>795</v>
      </c>
      <c r="B793" s="4">
        <v>129</v>
      </c>
      <c r="C793" s="3" t="str">
        <f ca="1">IFERROR(ROWSDUMMYFUNCTION(IF(A793="","",IFERROR(IMAGE(CONCATENATE("https://us.pandora.net/on/demandware.static/-/Sites-pandora-master-catalog/default/dwbb259ca6/productimages/singlepackshot/",LEFT(A793,FIND("-",A793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93" s="5" t="str">
        <f ca="1">IFERROR(ROWSDUMMYFUNCTION(IF(A793="","",CONCATENATE("https://us.pandora.net/on/demandware.static/-/Sites-pandora-master-catalog/default/dwbb259ca6/productimages/singlepackshot/",LEFT(A793,FIND("-",A793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4" spans="1:4" x14ac:dyDescent="0.25">
      <c r="A794" s="3" t="s">
        <v>796</v>
      </c>
      <c r="B794" s="4">
        <v>129</v>
      </c>
      <c r="C794" s="3" t="str">
        <f ca="1">IFERROR(ROWSDUMMYFUNCTION(IF(A794="","",IFERROR(IMAGE(CONCATENATE("https://us.pandora.net/on/demandware.static/-/Sites-pandora-master-catalog/default/dwbb259ca6/productimages/singlepackshot/",LEFT(A794,FIND("-",A794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94" s="5" t="str">
        <f ca="1">IFERROR(ROWSDUMMYFUNCTION(IF(A794="","",CONCATENATE("https://us.pandora.net/on/demandware.static/-/Sites-pandora-master-catalog/default/dwbb259ca6/productimages/singlepackshot/",LEFT(A794,FIND("-",A794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5" spans="1:4" x14ac:dyDescent="0.25">
      <c r="A795" s="3" t="s">
        <v>797</v>
      </c>
      <c r="B795" s="4">
        <v>129</v>
      </c>
      <c r="C795" s="3" t="str">
        <f ca="1">IFERROR(ROWSDUMMYFUNCTION(IF(A795="","",IFERROR(IMAGE(CONCATENATE("https://us.pandora.net/on/demandware.static/-/Sites-pandora-master-catalog/default/dwbb259ca6/productimages/singlepackshot/",LEFT(A795,FIND("-",A795&amp;"-")-1),"_RGB.png")),""))),"{""url"":""https://us.pandora.net/on/demandware.static/-/Sites-pandora-master-catalog/default/dwbb259ca6/productimages/singlepackshot/189057C01_RGB.png"",""mode"":1}")</f>
        <v>{"url":"https://us.pandora.net/on/demandware.static/-/Sites-pandora-master-catalog/default/dwbb259ca6/productimages/singlepackshot/189057C01_RGB.png","mode":1}</v>
      </c>
      <c r="D795" s="5" t="str">
        <f ca="1">IFERROR(ROWSDUMMYFUNCTION(IF(A795="","",CONCATENATE("https://us.pandora.net/on/demandware.static/-/Sites-pandora-master-catalog/default/dwbb259ca6/productimages/singlepackshot/",LEFT(A795,FIND("-",A795&amp;"-")-1),"_RGB.png"))),"https://us.pandora.net/on/demandware.static/-/Sites-pandora-master-catalog/default/dwbb259ca6/productimages/singlepackshot/189057C01_RGB.png")</f>
        <v>https://us.pandora.net/on/demandware.static/-/Sites-pandora-master-catalog/default/dwbb259ca6/productimages/singlepackshot/189057C01_RGB.png</v>
      </c>
    </row>
    <row r="796" spans="1:4" x14ac:dyDescent="0.25">
      <c r="A796" s="3" t="s">
        <v>798</v>
      </c>
      <c r="B796" s="4">
        <v>79</v>
      </c>
      <c r="C796" s="3" t="str">
        <f ca="1">IFERROR(ROWSDUMMYFUNCTION(IF(A796="","",IFERROR(IMAGE(CONCATENATE("https://us.pandora.net/on/demandware.static/-/Sites-pandora-master-catalog/default/dwbb259ca6/productimages/singlepackshot/",LEFT(A796,FIND("-",A796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796" s="5" t="str">
        <f ca="1">IFERROR(ROWSDUMMYFUNCTION(IF(A796="","",CONCATENATE("https://us.pandora.net/on/demandware.static/-/Sites-pandora-master-catalog/default/dwbb259ca6/productimages/singlepackshot/",LEFT(A796,FIND("-",A796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797" spans="1:4" x14ac:dyDescent="0.25">
      <c r="A797" s="3" t="s">
        <v>799</v>
      </c>
      <c r="B797" s="4">
        <v>79</v>
      </c>
      <c r="C797" s="3" t="str">
        <f ca="1">IFERROR(ROWSDUMMYFUNCTION(IF(A797="","",IFERROR(IMAGE(CONCATENATE("https://us.pandora.net/on/demandware.static/-/Sites-pandora-master-catalog/default/dwbb259ca6/productimages/singlepackshot/",LEFT(A797,FIND("-",A797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797" s="5" t="str">
        <f ca="1">IFERROR(ROWSDUMMYFUNCTION(IF(A797="","",CONCATENATE("https://us.pandora.net/on/demandware.static/-/Sites-pandora-master-catalog/default/dwbb259ca6/productimages/singlepackshot/",LEFT(A797,FIND("-",A797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798" spans="1:4" x14ac:dyDescent="0.25">
      <c r="A798" s="3" t="s">
        <v>800</v>
      </c>
      <c r="B798" s="4">
        <v>79</v>
      </c>
      <c r="C798" s="3" t="str">
        <f ca="1">IFERROR(ROWSDUMMYFUNCTION(IF(A798="","",IFERROR(IMAGE(CONCATENATE("https://us.pandora.net/on/demandware.static/-/Sites-pandora-master-catalog/default/dwbb259ca6/productimages/singlepackshot/",LEFT(A798,FIND("-",A798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798" s="5" t="str">
        <f ca="1">IFERROR(ROWSDUMMYFUNCTION(IF(A798="","",CONCATENATE("https://us.pandora.net/on/demandware.static/-/Sites-pandora-master-catalog/default/dwbb259ca6/productimages/singlepackshot/",LEFT(A798,FIND("-",A798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799" spans="1:4" x14ac:dyDescent="0.25">
      <c r="A799" s="3" t="s">
        <v>801</v>
      </c>
      <c r="B799" s="4">
        <v>79</v>
      </c>
      <c r="C799" s="3" t="str">
        <f ca="1">IFERROR(ROWSDUMMYFUNCTION(IF(A799="","",IFERROR(IMAGE(CONCATENATE("https://us.pandora.net/on/demandware.static/-/Sites-pandora-master-catalog/default/dwbb259ca6/productimages/singlepackshot/",LEFT(A799,FIND("-",A799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799" s="5" t="str">
        <f ca="1">IFERROR(ROWSDUMMYFUNCTION(IF(A799="","",CONCATENATE("https://us.pandora.net/on/demandware.static/-/Sites-pandora-master-catalog/default/dwbb259ca6/productimages/singlepackshot/",LEFT(A799,FIND("-",A799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800" spans="1:4" x14ac:dyDescent="0.25">
      <c r="A800" s="3" t="s">
        <v>802</v>
      </c>
      <c r="B800" s="4">
        <v>79</v>
      </c>
      <c r="C800" s="3" t="str">
        <f ca="1">IFERROR(ROWSDUMMYFUNCTION(IF(A800="","",IFERROR(IMAGE(CONCATENATE("https://us.pandora.net/on/demandware.static/-/Sites-pandora-master-catalog/default/dwbb259ca6/productimages/singlepackshot/",LEFT(A800,FIND("-",A800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800" s="5" t="str">
        <f ca="1">IFERROR(ROWSDUMMYFUNCTION(IF(A800="","",CONCATENATE("https://us.pandora.net/on/demandware.static/-/Sites-pandora-master-catalog/default/dwbb259ca6/productimages/singlepackshot/",LEFT(A800,FIND("-",A800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801" spans="1:4" x14ac:dyDescent="0.25">
      <c r="A801" s="3" t="s">
        <v>803</v>
      </c>
      <c r="B801" s="4">
        <v>79</v>
      </c>
      <c r="C801" s="3" t="str">
        <f ca="1">IFERROR(ROWSDUMMYFUNCTION(IF(A801="","",IFERROR(IMAGE(CONCATENATE("https://us.pandora.net/on/demandware.static/-/Sites-pandora-master-catalog/default/dwbb259ca6/productimages/singlepackshot/",LEFT(A801,FIND("-",A801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801" s="5" t="str">
        <f ca="1">IFERROR(ROWSDUMMYFUNCTION(IF(A801="","",CONCATENATE("https://us.pandora.net/on/demandware.static/-/Sites-pandora-master-catalog/default/dwbb259ca6/productimages/singlepackshot/",LEFT(A801,FIND("-",A801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802" spans="1:4" x14ac:dyDescent="0.25">
      <c r="A802" s="3" t="s">
        <v>804</v>
      </c>
      <c r="B802" s="4">
        <v>79</v>
      </c>
      <c r="C802" s="3" t="str">
        <f ca="1">IFERROR(ROWSDUMMYFUNCTION(IF(A802="","",IFERROR(IMAGE(CONCATENATE("https://us.pandora.net/on/demandware.static/-/Sites-pandora-master-catalog/default/dwbb259ca6/productimages/singlepackshot/",LEFT(A802,FIND("-",A802&amp;"-")-1),"_RGB.png")),""))),"{""url"":""https://us.pandora.net/on/demandware.static/-/Sites-pandora-master-catalog/default/dwbb259ca6/productimages/singlepackshot/189302C01_RGB.png"",""mode"":1}")</f>
        <v>{"url":"https://us.pandora.net/on/demandware.static/-/Sites-pandora-master-catalog/default/dwbb259ca6/productimages/singlepackshot/189302C01_RGB.png","mode":1}</v>
      </c>
      <c r="D802" s="5" t="str">
        <f ca="1">IFERROR(ROWSDUMMYFUNCTION(IF(A802="","",CONCATENATE("https://us.pandora.net/on/demandware.static/-/Sites-pandora-master-catalog/default/dwbb259ca6/productimages/singlepackshot/",LEFT(A802,FIND("-",A802&amp;"-")-1),"_RGB.png"))),"https://us.pandora.net/on/demandware.static/-/Sites-pandora-master-catalog/default/dwbb259ca6/productimages/singlepackshot/189302C01_RGB.png")</f>
        <v>https://us.pandora.net/on/demandware.static/-/Sites-pandora-master-catalog/default/dwbb259ca6/productimages/singlepackshot/189302C01_RGB.png</v>
      </c>
    </row>
    <row r="803" spans="1:4" x14ac:dyDescent="0.25">
      <c r="A803" s="3" t="s">
        <v>805</v>
      </c>
      <c r="B803" s="4">
        <v>49</v>
      </c>
      <c r="C803" s="3" t="str">
        <f ca="1">IFERROR(ROWSDUMMYFUNCTION(IF(A803="","",IFERROR(IMAGE(CONCATENATE("https://us.pandora.net/on/demandware.static/-/Sites-pandora-master-catalog/default/dwbb259ca6/productimages/singlepackshot/",LEFT(A803,FIND("-",A803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3" s="5" t="str">
        <f ca="1">IFERROR(ROWSDUMMYFUNCTION(IF(A803="","",CONCATENATE("https://us.pandora.net/on/demandware.static/-/Sites-pandora-master-catalog/default/dwbb259ca6/productimages/singlepackshot/",LEFT(A803,FIND("-",A803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04" spans="1:4" x14ac:dyDescent="0.25">
      <c r="A804" s="3" t="s">
        <v>806</v>
      </c>
      <c r="B804" s="4">
        <v>49</v>
      </c>
      <c r="C804" s="3" t="str">
        <f ca="1">IFERROR(ROWSDUMMYFUNCTION(IF(A804="","",IFERROR(IMAGE(CONCATENATE("https://us.pandora.net/on/demandware.static/-/Sites-pandora-master-catalog/default/dwbb259ca6/productimages/singlepackshot/",LEFT(A804,FIND("-",A804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4" s="5" t="str">
        <f ca="1">IFERROR(ROWSDUMMYFUNCTION(IF(A804="","",CONCATENATE("https://us.pandora.net/on/demandware.static/-/Sites-pandora-master-catalog/default/dwbb259ca6/productimages/singlepackshot/",LEFT(A804,FIND("-",A804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05" spans="1:4" x14ac:dyDescent="0.25">
      <c r="A805" s="3" t="s">
        <v>807</v>
      </c>
      <c r="B805" s="4">
        <v>49</v>
      </c>
      <c r="C805" s="3" t="str">
        <f ca="1">IFERROR(ROWSDUMMYFUNCTION(IF(A805="","",IFERROR(IMAGE(CONCATENATE("https://us.pandora.net/on/demandware.static/-/Sites-pandora-master-catalog/default/dwbb259ca6/productimages/singlepackshot/",LEFT(A805,FIND("-",A805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5" s="5" t="str">
        <f ca="1">IFERROR(ROWSDUMMYFUNCTION(IF(A805="","",CONCATENATE("https://us.pandora.net/on/demandware.static/-/Sites-pandora-master-catalog/default/dwbb259ca6/productimages/singlepackshot/",LEFT(A805,FIND("-",A805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06" spans="1:4" x14ac:dyDescent="0.25">
      <c r="A806" s="3" t="s">
        <v>808</v>
      </c>
      <c r="B806" s="4">
        <v>49</v>
      </c>
      <c r="C806" s="3" t="str">
        <f ca="1">IFERROR(ROWSDUMMYFUNCTION(IF(A806="","",IFERROR(IMAGE(CONCATENATE("https://us.pandora.net/on/demandware.static/-/Sites-pandora-master-catalog/default/dwbb259ca6/productimages/singlepackshot/",LEFT(A806,FIND("-",A806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6" s="5" t="str">
        <f ca="1">IFERROR(ROWSDUMMYFUNCTION(IF(A806="","",CONCATENATE("https://us.pandora.net/on/demandware.static/-/Sites-pandora-master-catalog/default/dwbb259ca6/productimages/singlepackshot/",LEFT(A806,FIND("-",A806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07" spans="1:4" x14ac:dyDescent="0.25">
      <c r="A807" s="3" t="s">
        <v>809</v>
      </c>
      <c r="B807" s="4">
        <v>49</v>
      </c>
      <c r="C807" s="3" t="str">
        <f ca="1">IFERROR(ROWSDUMMYFUNCTION(IF(A807="","",IFERROR(IMAGE(CONCATENATE("https://us.pandora.net/on/demandware.static/-/Sites-pandora-master-catalog/default/dwbb259ca6/productimages/singlepackshot/",LEFT(A807,FIND("-",A807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7" s="5" t="str">
        <f ca="1">IFERROR(ROWSDUMMYFUNCTION(IF(A807="","",CONCATENATE("https://us.pandora.net/on/demandware.static/-/Sites-pandora-master-catalog/default/dwbb259ca6/productimages/singlepackshot/",LEFT(A807,FIND("-",A807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08" spans="1:4" x14ac:dyDescent="0.25">
      <c r="A808" s="3" t="s">
        <v>810</v>
      </c>
      <c r="B808" s="4">
        <v>49</v>
      </c>
      <c r="C808" s="3" t="str">
        <f ca="1">IFERROR(ROWSDUMMYFUNCTION(IF(A808="","",IFERROR(IMAGE(CONCATENATE("https://us.pandora.net/on/demandware.static/-/Sites-pandora-master-catalog/default/dwbb259ca6/productimages/singlepackshot/",LEFT(A808,FIND("-",A808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8" s="5" t="str">
        <f ca="1">IFERROR(ROWSDUMMYFUNCTION(IF(A808="","",CONCATENATE("https://us.pandora.net/on/demandware.static/-/Sites-pandora-master-catalog/default/dwbb259ca6/productimages/singlepackshot/",LEFT(A808,FIND("-",A808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09" spans="1:4" x14ac:dyDescent="0.25">
      <c r="A809" s="3" t="s">
        <v>811</v>
      </c>
      <c r="B809" s="4">
        <v>49</v>
      </c>
      <c r="C809" s="3" t="str">
        <f ca="1">IFERROR(ROWSDUMMYFUNCTION(IF(A809="","",IFERROR(IMAGE(CONCATENATE("https://us.pandora.net/on/demandware.static/-/Sites-pandora-master-catalog/default/dwbb259ca6/productimages/singlepackshot/",LEFT(A809,FIND("-",A809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09" s="5" t="str">
        <f ca="1">IFERROR(ROWSDUMMYFUNCTION(IF(A809="","",CONCATENATE("https://us.pandora.net/on/demandware.static/-/Sites-pandora-master-catalog/default/dwbb259ca6/productimages/singlepackshot/",LEFT(A809,FIND("-",A809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10" spans="1:4" x14ac:dyDescent="0.25">
      <c r="A810" s="3" t="s">
        <v>812</v>
      </c>
      <c r="B810" s="4">
        <v>49</v>
      </c>
      <c r="C810" s="3" t="str">
        <f ca="1">IFERROR(ROWSDUMMYFUNCTION(IF(A810="","",IFERROR(IMAGE(CONCATENATE("https://us.pandora.net/on/demandware.static/-/Sites-pandora-master-catalog/default/dwbb259ca6/productimages/singlepackshot/",LEFT(A810,FIND("-",A810&amp;"-")-1),"_RGB.png")),""))),"{""url"":""https://us.pandora.net/on/demandware.static/-/Sites-pandora-master-catalog/default/dwbb259ca6/productimages/singlepackshot/189655C01_RGB.png"",""mode"":1}")</f>
        <v>{"url":"https://us.pandora.net/on/demandware.static/-/Sites-pandora-master-catalog/default/dwbb259ca6/productimages/singlepackshot/189655C01_RGB.png","mode":1}</v>
      </c>
      <c r="D810" s="5" t="str">
        <f ca="1">IFERROR(ROWSDUMMYFUNCTION(IF(A810="","",CONCATENATE("https://us.pandora.net/on/demandware.static/-/Sites-pandora-master-catalog/default/dwbb259ca6/productimages/singlepackshot/",LEFT(A810,FIND("-",A810&amp;"-")-1),"_RGB.png"))),"https://us.pandora.net/on/demandware.static/-/Sites-pandora-master-catalog/default/dwbb259ca6/productimages/singlepackshot/189655C01_RGB.png")</f>
        <v>https://us.pandora.net/on/demandware.static/-/Sites-pandora-master-catalog/default/dwbb259ca6/productimages/singlepackshot/189655C01_RGB.png</v>
      </c>
    </row>
    <row r="811" spans="1:4" x14ac:dyDescent="0.25">
      <c r="A811" s="3" t="s">
        <v>813</v>
      </c>
      <c r="B811" s="4">
        <v>49</v>
      </c>
      <c r="C811" s="3" t="str">
        <f ca="1">IFERROR(ROWSDUMMYFUNCTION(IF(A811="","",IFERROR(IMAGE(CONCATENATE("https://us.pandora.net/on/demandware.static/-/Sites-pandora-master-catalog/default/dwbb259ca6/productimages/singlepackshot/",LEFT(A811,FIND("-",A811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1" s="5" t="str">
        <f ca="1">IFERROR(ROWSDUMMYFUNCTION(IF(A811="","",CONCATENATE("https://us.pandora.net/on/demandware.static/-/Sites-pandora-master-catalog/default/dwbb259ca6/productimages/singlepackshot/",LEFT(A811,FIND("-",A811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2" spans="1:4" x14ac:dyDescent="0.25">
      <c r="A812" s="3" t="s">
        <v>814</v>
      </c>
      <c r="B812" s="4">
        <v>49</v>
      </c>
      <c r="C812" s="3" t="str">
        <f ca="1">IFERROR(ROWSDUMMYFUNCTION(IF(A812="","",IFERROR(IMAGE(CONCATENATE("https://us.pandora.net/on/demandware.static/-/Sites-pandora-master-catalog/default/dwbb259ca6/productimages/singlepackshot/",LEFT(A812,FIND("-",A812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2" s="5" t="str">
        <f ca="1">IFERROR(ROWSDUMMYFUNCTION(IF(A812="","",CONCATENATE("https://us.pandora.net/on/demandware.static/-/Sites-pandora-master-catalog/default/dwbb259ca6/productimages/singlepackshot/",LEFT(A812,FIND("-",A812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3" spans="1:4" x14ac:dyDescent="0.25">
      <c r="A813" s="3" t="s">
        <v>815</v>
      </c>
      <c r="B813" s="4">
        <v>49</v>
      </c>
      <c r="C813" s="3" t="str">
        <f ca="1">IFERROR(ROWSDUMMYFUNCTION(IF(A813="","",IFERROR(IMAGE(CONCATENATE("https://us.pandora.net/on/demandware.static/-/Sites-pandora-master-catalog/default/dwbb259ca6/productimages/singlepackshot/",LEFT(A813,FIND("-",A813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3" s="5" t="str">
        <f ca="1">IFERROR(ROWSDUMMYFUNCTION(IF(A813="","",CONCATENATE("https://us.pandora.net/on/demandware.static/-/Sites-pandora-master-catalog/default/dwbb259ca6/productimages/singlepackshot/",LEFT(A813,FIND("-",A813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4" spans="1:4" x14ac:dyDescent="0.25">
      <c r="A814" s="3" t="s">
        <v>816</v>
      </c>
      <c r="B814" s="4">
        <v>49</v>
      </c>
      <c r="C814" s="3" t="str">
        <f ca="1">IFERROR(ROWSDUMMYFUNCTION(IF(A814="","",IFERROR(IMAGE(CONCATENATE("https://us.pandora.net/on/demandware.static/-/Sites-pandora-master-catalog/default/dwbb259ca6/productimages/singlepackshot/",LEFT(A814,FIND("-",A814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4" s="5" t="str">
        <f ca="1">IFERROR(ROWSDUMMYFUNCTION(IF(A814="","",CONCATENATE("https://us.pandora.net/on/demandware.static/-/Sites-pandora-master-catalog/default/dwbb259ca6/productimages/singlepackshot/",LEFT(A814,FIND("-",A814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5" spans="1:4" x14ac:dyDescent="0.25">
      <c r="A815" s="3" t="s">
        <v>817</v>
      </c>
      <c r="B815" s="4">
        <v>49</v>
      </c>
      <c r="C815" s="3" t="str">
        <f ca="1">IFERROR(ROWSDUMMYFUNCTION(IF(A815="","",IFERROR(IMAGE(CONCATENATE("https://us.pandora.net/on/demandware.static/-/Sites-pandora-master-catalog/default/dwbb259ca6/productimages/singlepackshot/",LEFT(A815,FIND("-",A815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5" s="5" t="str">
        <f ca="1">IFERROR(ROWSDUMMYFUNCTION(IF(A815="","",CONCATENATE("https://us.pandora.net/on/demandware.static/-/Sites-pandora-master-catalog/default/dwbb259ca6/productimages/singlepackshot/",LEFT(A815,FIND("-",A815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6" spans="1:4" x14ac:dyDescent="0.25">
      <c r="A816" s="3" t="s">
        <v>818</v>
      </c>
      <c r="B816" s="4">
        <v>49</v>
      </c>
      <c r="C816" s="3" t="str">
        <f ca="1">IFERROR(ROWSDUMMYFUNCTION(IF(A816="","",IFERROR(IMAGE(CONCATENATE("https://us.pandora.net/on/demandware.static/-/Sites-pandora-master-catalog/default/dwbb259ca6/productimages/singlepackshot/",LEFT(A816,FIND("-",A816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6" s="5" t="str">
        <f ca="1">IFERROR(ROWSDUMMYFUNCTION(IF(A816="","",CONCATENATE("https://us.pandora.net/on/demandware.static/-/Sites-pandora-master-catalog/default/dwbb259ca6/productimages/singlepackshot/",LEFT(A816,FIND("-",A816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7" spans="1:4" x14ac:dyDescent="0.25">
      <c r="A817" s="3" t="s">
        <v>819</v>
      </c>
      <c r="B817" s="4">
        <v>49</v>
      </c>
      <c r="C817" s="3" t="str">
        <f ca="1">IFERROR(ROWSDUMMYFUNCTION(IF(A817="","",IFERROR(IMAGE(CONCATENATE("https://us.pandora.net/on/demandware.static/-/Sites-pandora-master-catalog/default/dwbb259ca6/productimages/singlepackshot/",LEFT(A817,FIND("-",A817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7" s="5" t="str">
        <f ca="1">IFERROR(ROWSDUMMYFUNCTION(IF(A817="","",CONCATENATE("https://us.pandora.net/on/demandware.static/-/Sites-pandora-master-catalog/default/dwbb259ca6/productimages/singlepackshot/",LEFT(A817,FIND("-",A817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8" spans="1:4" x14ac:dyDescent="0.25">
      <c r="A818" s="3" t="s">
        <v>820</v>
      </c>
      <c r="B818" s="4">
        <v>49</v>
      </c>
      <c r="C818" s="3" t="str">
        <f ca="1">IFERROR(ROWSDUMMYFUNCTION(IF(A818="","",IFERROR(IMAGE(CONCATENATE("https://us.pandora.net/on/demandware.static/-/Sites-pandora-master-catalog/default/dwbb259ca6/productimages/singlepackshot/",LEFT(A818,FIND("-",A818&amp;"-")-1),"_RGB.png")),""))),"{""url"":""https://us.pandora.net/on/demandware.static/-/Sites-pandora-master-catalog/default/dwbb259ca6/productimages/singlepackshot/189679C01_RGB.png"",""mode"":1}")</f>
        <v>{"url":"https://us.pandora.net/on/demandware.static/-/Sites-pandora-master-catalog/default/dwbb259ca6/productimages/singlepackshot/189679C01_RGB.png","mode":1}</v>
      </c>
      <c r="D818" s="5" t="str">
        <f ca="1">IFERROR(ROWSDUMMYFUNCTION(IF(A818="","",CONCATENATE("https://us.pandora.net/on/demandware.static/-/Sites-pandora-master-catalog/default/dwbb259ca6/productimages/singlepackshot/",LEFT(A818,FIND("-",A818&amp;"-")-1),"_RGB.png"))),"https://us.pandora.net/on/demandware.static/-/Sites-pandora-master-catalog/default/dwbb259ca6/productimages/singlepackshot/189679C01_RGB.png")</f>
        <v>https://us.pandora.net/on/demandware.static/-/Sites-pandora-master-catalog/default/dwbb259ca6/productimages/singlepackshot/189679C01_RGB.png</v>
      </c>
    </row>
    <row r="819" spans="1:4" x14ac:dyDescent="0.25">
      <c r="A819" s="3" t="s">
        <v>821</v>
      </c>
      <c r="B819" s="4">
        <v>69</v>
      </c>
      <c r="C819" s="3" t="str">
        <f ca="1">IFERROR(ROWSDUMMYFUNCTION(IF(A819="","",IFERROR(IMAGE(CONCATENATE("https://us.pandora.net/on/demandware.static/-/Sites-pandora-master-catalog/default/dwbb259ca6/productimages/singlepackshot/",LEFT(A819,FIND("-",A819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19" s="5" t="str">
        <f ca="1">IFERROR(ROWSDUMMYFUNCTION(IF(A819="","",CONCATENATE("https://us.pandora.net/on/demandware.static/-/Sites-pandora-master-catalog/default/dwbb259ca6/productimages/singlepackshot/",LEFT(A819,FIND("-",A819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0" spans="1:4" x14ac:dyDescent="0.25">
      <c r="A820" s="3" t="s">
        <v>822</v>
      </c>
      <c r="B820" s="4">
        <v>69</v>
      </c>
      <c r="C820" s="3" t="str">
        <f ca="1">IFERROR(ROWSDUMMYFUNCTION(IF(A820="","",IFERROR(IMAGE(CONCATENATE("https://us.pandora.net/on/demandware.static/-/Sites-pandora-master-catalog/default/dwbb259ca6/productimages/singlepackshot/",LEFT(A820,FIND("-",A820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20" s="5" t="str">
        <f ca="1">IFERROR(ROWSDUMMYFUNCTION(IF(A820="","",CONCATENATE("https://us.pandora.net/on/demandware.static/-/Sites-pandora-master-catalog/default/dwbb259ca6/productimages/singlepackshot/",LEFT(A820,FIND("-",A820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1" spans="1:4" x14ac:dyDescent="0.25">
      <c r="A821" s="3" t="s">
        <v>823</v>
      </c>
      <c r="B821" s="4">
        <v>69</v>
      </c>
      <c r="C821" s="3" t="str">
        <f ca="1">IFERROR(ROWSDUMMYFUNCTION(IF(A821="","",IFERROR(IMAGE(CONCATENATE("https://us.pandora.net/on/demandware.static/-/Sites-pandora-master-catalog/default/dwbb259ca6/productimages/singlepackshot/",LEFT(A821,FIND("-",A821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21" s="5" t="str">
        <f ca="1">IFERROR(ROWSDUMMYFUNCTION(IF(A821="","",CONCATENATE("https://us.pandora.net/on/demandware.static/-/Sites-pandora-master-catalog/default/dwbb259ca6/productimages/singlepackshot/",LEFT(A821,FIND("-",A821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2" spans="1:4" x14ac:dyDescent="0.25">
      <c r="A822" s="3" t="s">
        <v>824</v>
      </c>
      <c r="B822" s="4">
        <v>69</v>
      </c>
      <c r="C822" s="3" t="str">
        <f ca="1">IFERROR(ROWSDUMMYFUNCTION(IF(A822="","",IFERROR(IMAGE(CONCATENATE("https://us.pandora.net/on/demandware.static/-/Sites-pandora-master-catalog/default/dwbb259ca6/productimages/singlepackshot/",LEFT(A822,FIND("-",A822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22" s="5" t="str">
        <f ca="1">IFERROR(ROWSDUMMYFUNCTION(IF(A822="","",CONCATENATE("https://us.pandora.net/on/demandware.static/-/Sites-pandora-master-catalog/default/dwbb259ca6/productimages/singlepackshot/",LEFT(A822,FIND("-",A822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3" spans="1:4" x14ac:dyDescent="0.25">
      <c r="A823" s="3" t="s">
        <v>825</v>
      </c>
      <c r="B823" s="4">
        <v>69</v>
      </c>
      <c r="C823" s="3" t="str">
        <f ca="1">IFERROR(ROWSDUMMYFUNCTION(IF(A823="","",IFERROR(IMAGE(CONCATENATE("https://us.pandora.net/on/demandware.static/-/Sites-pandora-master-catalog/default/dwbb259ca6/productimages/singlepackshot/",LEFT(A823,FIND("-",A823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23" s="5" t="str">
        <f ca="1">IFERROR(ROWSDUMMYFUNCTION(IF(A823="","",CONCATENATE("https://us.pandora.net/on/demandware.static/-/Sites-pandora-master-catalog/default/dwbb259ca6/productimages/singlepackshot/",LEFT(A823,FIND("-",A823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4" spans="1:4" x14ac:dyDescent="0.25">
      <c r="A824" s="3" t="s">
        <v>826</v>
      </c>
      <c r="B824" s="4">
        <v>69</v>
      </c>
      <c r="C824" s="3" t="str">
        <f ca="1">IFERROR(ROWSDUMMYFUNCTION(IF(A824="","",IFERROR(IMAGE(CONCATENATE("https://us.pandora.net/on/demandware.static/-/Sites-pandora-master-catalog/default/dwbb259ca6/productimages/singlepackshot/",LEFT(A824,FIND("-",A824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24" s="5" t="str">
        <f ca="1">IFERROR(ROWSDUMMYFUNCTION(IF(A824="","",CONCATENATE("https://us.pandora.net/on/demandware.static/-/Sites-pandora-master-catalog/default/dwbb259ca6/productimages/singlepackshot/",LEFT(A824,FIND("-",A824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5" spans="1:4" x14ac:dyDescent="0.25">
      <c r="A825" s="3" t="s">
        <v>827</v>
      </c>
      <c r="B825" s="4">
        <v>69</v>
      </c>
      <c r="C825" s="3" t="str">
        <f ca="1">IFERROR(ROWSDUMMYFUNCTION(IF(A825="","",IFERROR(IMAGE(CONCATENATE("https://us.pandora.net/on/demandware.static/-/Sites-pandora-master-catalog/default/dwbb259ca6/productimages/singlepackshot/",LEFT(A825,FIND("-",A825&amp;"-")-1),"_RGB.png")),""))),"{""url"":""https://us.pandora.net/on/demandware.static/-/Sites-pandora-master-catalog/default/dwbb259ca6/productimages/singlepackshot/190017C01_RGB.png"",""mode"":1}")</f>
        <v>{"url":"https://us.pandora.net/on/demandware.static/-/Sites-pandora-master-catalog/default/dwbb259ca6/productimages/singlepackshot/190017C01_RGB.png","mode":1}</v>
      </c>
      <c r="D825" s="5" t="str">
        <f ca="1">IFERROR(ROWSDUMMYFUNCTION(IF(A825="","",CONCATENATE("https://us.pandora.net/on/demandware.static/-/Sites-pandora-master-catalog/default/dwbb259ca6/productimages/singlepackshot/",LEFT(A825,FIND("-",A825&amp;"-")-1),"_RGB.png"))),"https://us.pandora.net/on/demandware.static/-/Sites-pandora-master-catalog/default/dwbb259ca6/productimages/singlepackshot/190017C01_RGB.png")</f>
        <v>https://us.pandora.net/on/demandware.static/-/Sites-pandora-master-catalog/default/dwbb259ca6/productimages/singlepackshot/190017C01_RGB.png</v>
      </c>
    </row>
    <row r="826" spans="1:4" x14ac:dyDescent="0.25">
      <c r="A826" s="3" t="s">
        <v>828</v>
      </c>
      <c r="B826" s="4">
        <v>49</v>
      </c>
      <c r="C826" s="3" t="str">
        <f ca="1">IFERROR(ROWSDUMMYFUNCTION(IF(A826="","",IFERROR(IMAGE(CONCATENATE("https://us.pandora.net/on/demandware.static/-/Sites-pandora-master-catalog/default/dwbb259ca6/productimages/singlepackshot/",LEFT(A826,FIND("-",A826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26" s="5" t="str">
        <f ca="1">IFERROR(ROWSDUMMYFUNCTION(IF(A826="","",CONCATENATE("https://us.pandora.net/on/demandware.static/-/Sites-pandora-master-catalog/default/dwbb259ca6/productimages/singlepackshot/",LEFT(A826,FIND("-",A826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27" spans="1:4" x14ac:dyDescent="0.25">
      <c r="A827" s="3" t="s">
        <v>829</v>
      </c>
      <c r="B827" s="4">
        <v>49</v>
      </c>
      <c r="C827" s="3" t="str">
        <f ca="1">IFERROR(ROWSDUMMYFUNCTION(IF(A827="","",IFERROR(IMAGE(CONCATENATE("https://us.pandora.net/on/demandware.static/-/Sites-pandora-master-catalog/default/dwbb259ca6/productimages/singlepackshot/",LEFT(A827,FIND("-",A827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27" s="5" t="str">
        <f ca="1">IFERROR(ROWSDUMMYFUNCTION(IF(A827="","",CONCATENATE("https://us.pandora.net/on/demandware.static/-/Sites-pandora-master-catalog/default/dwbb259ca6/productimages/singlepackshot/",LEFT(A827,FIND("-",A827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28" spans="1:4" x14ac:dyDescent="0.25">
      <c r="A828" s="3" t="s">
        <v>830</v>
      </c>
      <c r="B828" s="4">
        <v>49</v>
      </c>
      <c r="C828" s="3" t="str">
        <f ca="1">IFERROR(ROWSDUMMYFUNCTION(IF(A828="","",IFERROR(IMAGE(CONCATENATE("https://us.pandora.net/on/demandware.static/-/Sites-pandora-master-catalog/default/dwbb259ca6/productimages/singlepackshot/",LEFT(A828,FIND("-",A828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28" s="5" t="str">
        <f ca="1">IFERROR(ROWSDUMMYFUNCTION(IF(A828="","",CONCATENATE("https://us.pandora.net/on/demandware.static/-/Sites-pandora-master-catalog/default/dwbb259ca6/productimages/singlepackshot/",LEFT(A828,FIND("-",A828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29" spans="1:4" x14ac:dyDescent="0.25">
      <c r="A829" s="3" t="s">
        <v>831</v>
      </c>
      <c r="B829" s="4">
        <v>49</v>
      </c>
      <c r="C829" s="3" t="str">
        <f ca="1">IFERROR(ROWSDUMMYFUNCTION(IF(A829="","",IFERROR(IMAGE(CONCATENATE("https://us.pandora.net/on/demandware.static/-/Sites-pandora-master-catalog/default/dwbb259ca6/productimages/singlepackshot/",LEFT(A829,FIND("-",A829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29" s="5" t="str">
        <f ca="1">IFERROR(ROWSDUMMYFUNCTION(IF(A829="","",CONCATENATE("https://us.pandora.net/on/demandware.static/-/Sites-pandora-master-catalog/default/dwbb259ca6/productimages/singlepackshot/",LEFT(A829,FIND("-",A829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30" spans="1:4" x14ac:dyDescent="0.25">
      <c r="A830" s="3" t="s">
        <v>832</v>
      </c>
      <c r="B830" s="4">
        <v>49</v>
      </c>
      <c r="C830" s="3" t="str">
        <f ca="1">IFERROR(ROWSDUMMYFUNCTION(IF(A830="","",IFERROR(IMAGE(CONCATENATE("https://us.pandora.net/on/demandware.static/-/Sites-pandora-master-catalog/default/dwbb259ca6/productimages/singlepackshot/",LEFT(A830,FIND("-",A830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30" s="5" t="str">
        <f ca="1">IFERROR(ROWSDUMMYFUNCTION(IF(A830="","",CONCATENATE("https://us.pandora.net/on/demandware.static/-/Sites-pandora-master-catalog/default/dwbb259ca6/productimages/singlepackshot/",LEFT(A830,FIND("-",A830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31" spans="1:4" x14ac:dyDescent="0.25">
      <c r="A831" s="3" t="s">
        <v>833</v>
      </c>
      <c r="B831" s="4">
        <v>49</v>
      </c>
      <c r="C831" s="3" t="str">
        <f ca="1">IFERROR(ROWSDUMMYFUNCTION(IF(A831="","",IFERROR(IMAGE(CONCATENATE("https://us.pandora.net/on/demandware.static/-/Sites-pandora-master-catalog/default/dwbb259ca6/productimages/singlepackshot/",LEFT(A831,FIND("-",A831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31" s="5" t="str">
        <f ca="1">IFERROR(ROWSDUMMYFUNCTION(IF(A831="","",CONCATENATE("https://us.pandora.net/on/demandware.static/-/Sites-pandora-master-catalog/default/dwbb259ca6/productimages/singlepackshot/",LEFT(A831,FIND("-",A831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32" spans="1:4" x14ac:dyDescent="0.25">
      <c r="A832" s="3" t="s">
        <v>834</v>
      </c>
      <c r="B832" s="4">
        <v>49</v>
      </c>
      <c r="C832" s="3" t="str">
        <f ca="1">IFERROR(ROWSDUMMYFUNCTION(IF(A832="","",IFERROR(IMAGE(CONCATENATE("https://us.pandora.net/on/demandware.static/-/Sites-pandora-master-catalog/default/dwbb259ca6/productimages/singlepackshot/",LEFT(A832,FIND("-",A832&amp;"-")-1),"_RGB.png")),""))),"{""url"":""https://us.pandora.net/on/demandware.static/-/Sites-pandora-master-catalog/default/dwbb259ca6/productimages/singlepackshot/190026C01_RGB.png"",""mode"":1}")</f>
        <v>{"url":"https://us.pandora.net/on/demandware.static/-/Sites-pandora-master-catalog/default/dwbb259ca6/productimages/singlepackshot/190026C01_RGB.png","mode":1}</v>
      </c>
      <c r="D832" s="5" t="str">
        <f ca="1">IFERROR(ROWSDUMMYFUNCTION(IF(A832="","",CONCATENATE("https://us.pandora.net/on/demandware.static/-/Sites-pandora-master-catalog/default/dwbb259ca6/productimages/singlepackshot/",LEFT(A832,FIND("-",A832&amp;"-")-1),"_RGB.png"))),"https://us.pandora.net/on/demandware.static/-/Sites-pandora-master-catalog/default/dwbb259ca6/productimages/singlepackshot/190026C01_RGB.png")</f>
        <v>https://us.pandora.net/on/demandware.static/-/Sites-pandora-master-catalog/default/dwbb259ca6/productimages/singlepackshot/190026C01_RGB.png</v>
      </c>
    </row>
    <row r="833" spans="1:4" x14ac:dyDescent="0.25">
      <c r="A833" s="3" t="s">
        <v>835</v>
      </c>
      <c r="B833" s="4">
        <v>35</v>
      </c>
      <c r="C833" s="3" t="str">
        <f ca="1">IFERROR(ROWSDUMMYFUNCTION(IF(A833="","",IFERROR(IMAGE(CONCATENATE("https://us.pandora.net/on/demandware.static/-/Sites-pandora-master-catalog/default/dwbb259ca6/productimages/singlepackshot/",LEFT(A833,FIND("-",A833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3" s="5" t="str">
        <f ca="1">IFERROR(ROWSDUMMYFUNCTION(IF(A833="","",CONCATENATE("https://us.pandora.net/on/demandware.static/-/Sites-pandora-master-catalog/default/dwbb259ca6/productimages/singlepackshot/",LEFT(A833,FIND("-",A833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34" spans="1:4" x14ac:dyDescent="0.25">
      <c r="A834" s="3" t="s">
        <v>836</v>
      </c>
      <c r="B834" s="4">
        <v>35</v>
      </c>
      <c r="C834" s="3" t="str">
        <f ca="1">IFERROR(ROWSDUMMYFUNCTION(IF(A834="","",IFERROR(IMAGE(CONCATENATE("https://us.pandora.net/on/demandware.static/-/Sites-pandora-master-catalog/default/dwbb259ca6/productimages/singlepackshot/",LEFT(A834,FIND("-",A834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4" s="5" t="str">
        <f ca="1">IFERROR(ROWSDUMMYFUNCTION(IF(A834="","",CONCATENATE("https://us.pandora.net/on/demandware.static/-/Sites-pandora-master-catalog/default/dwbb259ca6/productimages/singlepackshot/",LEFT(A834,FIND("-",A834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35" spans="1:4" x14ac:dyDescent="0.25">
      <c r="A835" s="3" t="s">
        <v>837</v>
      </c>
      <c r="B835" s="4">
        <v>35</v>
      </c>
      <c r="C835" s="3" t="str">
        <f ca="1">IFERROR(ROWSDUMMYFUNCTION(IF(A835="","",IFERROR(IMAGE(CONCATENATE("https://us.pandora.net/on/demandware.static/-/Sites-pandora-master-catalog/default/dwbb259ca6/productimages/singlepackshot/",LEFT(A835,FIND("-",A835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5" s="5" t="str">
        <f ca="1">IFERROR(ROWSDUMMYFUNCTION(IF(A835="","",CONCATENATE("https://us.pandora.net/on/demandware.static/-/Sites-pandora-master-catalog/default/dwbb259ca6/productimages/singlepackshot/",LEFT(A835,FIND("-",A835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36" spans="1:4" x14ac:dyDescent="0.25">
      <c r="A836" s="3" t="s">
        <v>838</v>
      </c>
      <c r="B836" s="4">
        <v>35</v>
      </c>
      <c r="C836" s="3" t="str">
        <f ca="1">IFERROR(ROWSDUMMYFUNCTION(IF(A836="","",IFERROR(IMAGE(CONCATENATE("https://us.pandora.net/on/demandware.static/-/Sites-pandora-master-catalog/default/dwbb259ca6/productimages/singlepackshot/",LEFT(A836,FIND("-",A836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6" s="5" t="str">
        <f ca="1">IFERROR(ROWSDUMMYFUNCTION(IF(A836="","",CONCATENATE("https://us.pandora.net/on/demandware.static/-/Sites-pandora-master-catalog/default/dwbb259ca6/productimages/singlepackshot/",LEFT(A836,FIND("-",A836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37" spans="1:4" x14ac:dyDescent="0.25">
      <c r="A837" s="3" t="s">
        <v>839</v>
      </c>
      <c r="B837" s="4">
        <v>35</v>
      </c>
      <c r="C837" s="3" t="str">
        <f ca="1">IFERROR(ROWSDUMMYFUNCTION(IF(A837="","",IFERROR(IMAGE(CONCATENATE("https://us.pandora.net/on/demandware.static/-/Sites-pandora-master-catalog/default/dwbb259ca6/productimages/singlepackshot/",LEFT(A837,FIND("-",A837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7" s="5" t="str">
        <f ca="1">IFERROR(ROWSDUMMYFUNCTION(IF(A837="","",CONCATENATE("https://us.pandora.net/on/demandware.static/-/Sites-pandora-master-catalog/default/dwbb259ca6/productimages/singlepackshot/",LEFT(A837,FIND("-",A837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38" spans="1:4" x14ac:dyDescent="0.25">
      <c r="A838" s="3" t="s">
        <v>840</v>
      </c>
      <c r="B838" s="4">
        <v>35</v>
      </c>
      <c r="C838" s="3" t="str">
        <f ca="1">IFERROR(ROWSDUMMYFUNCTION(IF(A838="","",IFERROR(IMAGE(CONCATENATE("https://us.pandora.net/on/demandware.static/-/Sites-pandora-master-catalog/default/dwbb259ca6/productimages/singlepackshot/",LEFT(A838,FIND("-",A838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8" s="5" t="str">
        <f ca="1">IFERROR(ROWSDUMMYFUNCTION(IF(A838="","",CONCATENATE("https://us.pandora.net/on/demandware.static/-/Sites-pandora-master-catalog/default/dwbb259ca6/productimages/singlepackshot/",LEFT(A838,FIND("-",A838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39" spans="1:4" x14ac:dyDescent="0.25">
      <c r="A839" s="3" t="s">
        <v>841</v>
      </c>
      <c r="B839" s="4">
        <v>35</v>
      </c>
      <c r="C839" s="3" t="str">
        <f ca="1">IFERROR(ROWSDUMMYFUNCTION(IF(A839="","",IFERROR(IMAGE(CONCATENATE("https://us.pandora.net/on/demandware.static/-/Sites-pandora-master-catalog/default/dwbb259ca6/productimages/singlepackshot/",LEFT(A839,FIND("-",A839&amp;"-")-1),"_RGB.png")),""))),"{""url"":""https://us.pandora.net/on/demandware.static/-/Sites-pandora-master-catalog/default/dwbb259ca6/productimages/singlepackshot/190029C00_RGB.png"",""mode"":1}")</f>
        <v>{"url":"https://us.pandora.net/on/demandware.static/-/Sites-pandora-master-catalog/default/dwbb259ca6/productimages/singlepackshot/190029C00_RGB.png","mode":1}</v>
      </c>
      <c r="D839" s="5" t="str">
        <f ca="1">IFERROR(ROWSDUMMYFUNCTION(IF(A839="","",CONCATENATE("https://us.pandora.net/on/demandware.static/-/Sites-pandora-master-catalog/default/dwbb259ca6/productimages/singlepackshot/",LEFT(A839,FIND("-",A839&amp;"-")-1),"_RGB.png"))),"https://us.pandora.net/on/demandware.static/-/Sites-pandora-master-catalog/default/dwbb259ca6/productimages/singlepackshot/190029C00_RGB.png")</f>
        <v>https://us.pandora.net/on/demandware.static/-/Sites-pandora-master-catalog/default/dwbb259ca6/productimages/singlepackshot/190029C00_RGB.png</v>
      </c>
    </row>
    <row r="840" spans="1:4" x14ac:dyDescent="0.25">
      <c r="A840" s="3" t="s">
        <v>842</v>
      </c>
      <c r="B840" s="4">
        <v>89</v>
      </c>
      <c r="C840" s="3" t="str">
        <f ca="1">IFERROR(ROWSDUMMYFUNCTION(IF(A840="","",IFERROR(IMAGE(CONCATENATE("https://us.pandora.net/on/demandware.static/-/Sites-pandora-master-catalog/default/dwbb259ca6/productimages/singlepackshot/",LEFT(A840,FIND("-",A840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0" s="5" t="str">
        <f ca="1">IFERROR(ROWSDUMMYFUNCTION(IF(A840="","",CONCATENATE("https://us.pandora.net/on/demandware.static/-/Sites-pandora-master-catalog/default/dwbb259ca6/productimages/singlepackshot/",LEFT(A840,FIND("-",A840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1" spans="1:4" x14ac:dyDescent="0.25">
      <c r="A841" s="3" t="s">
        <v>843</v>
      </c>
      <c r="B841" s="4">
        <v>89</v>
      </c>
      <c r="C841" s="3" t="str">
        <f ca="1">IFERROR(ROWSDUMMYFUNCTION(IF(A841="","",IFERROR(IMAGE(CONCATENATE("https://us.pandora.net/on/demandware.static/-/Sites-pandora-master-catalog/default/dwbb259ca6/productimages/singlepackshot/",LEFT(A841,FIND("-",A841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1" s="5" t="str">
        <f ca="1">IFERROR(ROWSDUMMYFUNCTION(IF(A841="","",CONCATENATE("https://us.pandora.net/on/demandware.static/-/Sites-pandora-master-catalog/default/dwbb259ca6/productimages/singlepackshot/",LEFT(A841,FIND("-",A841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2" spans="1:4" x14ac:dyDescent="0.25">
      <c r="A842" s="3" t="s">
        <v>844</v>
      </c>
      <c r="B842" s="4">
        <v>89</v>
      </c>
      <c r="C842" s="3" t="str">
        <f ca="1">IFERROR(ROWSDUMMYFUNCTION(IF(A842="","",IFERROR(IMAGE(CONCATENATE("https://us.pandora.net/on/demandware.static/-/Sites-pandora-master-catalog/default/dwbb259ca6/productimages/singlepackshot/",LEFT(A842,FIND("-",A842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2" s="5" t="str">
        <f ca="1">IFERROR(ROWSDUMMYFUNCTION(IF(A842="","",CONCATENATE("https://us.pandora.net/on/demandware.static/-/Sites-pandora-master-catalog/default/dwbb259ca6/productimages/singlepackshot/",LEFT(A842,FIND("-",A842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3" spans="1:4" x14ac:dyDescent="0.25">
      <c r="A843" s="3" t="s">
        <v>845</v>
      </c>
      <c r="B843" s="4">
        <v>89</v>
      </c>
      <c r="C843" s="3" t="str">
        <f ca="1">IFERROR(ROWSDUMMYFUNCTION(IF(A843="","",IFERROR(IMAGE(CONCATENATE("https://us.pandora.net/on/demandware.static/-/Sites-pandora-master-catalog/default/dwbb259ca6/productimages/singlepackshot/",LEFT(A843,FIND("-",A843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3" s="5" t="str">
        <f ca="1">IFERROR(ROWSDUMMYFUNCTION(IF(A843="","",CONCATENATE("https://us.pandora.net/on/demandware.static/-/Sites-pandora-master-catalog/default/dwbb259ca6/productimages/singlepackshot/",LEFT(A843,FIND("-",A843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4" spans="1:4" x14ac:dyDescent="0.25">
      <c r="A844" s="3" t="s">
        <v>846</v>
      </c>
      <c r="B844" s="4">
        <v>89</v>
      </c>
      <c r="C844" s="3" t="str">
        <f ca="1">IFERROR(ROWSDUMMYFUNCTION(IF(A844="","",IFERROR(IMAGE(CONCATENATE("https://us.pandora.net/on/demandware.static/-/Sites-pandora-master-catalog/default/dwbb259ca6/productimages/singlepackshot/",LEFT(A844,FIND("-",A844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4" s="5" t="str">
        <f ca="1">IFERROR(ROWSDUMMYFUNCTION(IF(A844="","",CONCATENATE("https://us.pandora.net/on/demandware.static/-/Sites-pandora-master-catalog/default/dwbb259ca6/productimages/singlepackshot/",LEFT(A844,FIND("-",A844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5" spans="1:4" x14ac:dyDescent="0.25">
      <c r="A845" s="3" t="s">
        <v>847</v>
      </c>
      <c r="B845" s="4">
        <v>89</v>
      </c>
      <c r="C845" s="3" t="str">
        <f ca="1">IFERROR(ROWSDUMMYFUNCTION(IF(A845="","",IFERROR(IMAGE(CONCATENATE("https://us.pandora.net/on/demandware.static/-/Sites-pandora-master-catalog/default/dwbb259ca6/productimages/singlepackshot/",LEFT(A845,FIND("-",A845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5" s="5" t="str">
        <f ca="1">IFERROR(ROWSDUMMYFUNCTION(IF(A845="","",CONCATENATE("https://us.pandora.net/on/demandware.static/-/Sites-pandora-master-catalog/default/dwbb259ca6/productimages/singlepackshot/",LEFT(A845,FIND("-",A845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6" spans="1:4" x14ac:dyDescent="0.25">
      <c r="A846" s="3" t="s">
        <v>848</v>
      </c>
      <c r="B846" s="4">
        <v>89</v>
      </c>
      <c r="C846" s="3" t="str">
        <f ca="1">IFERROR(ROWSDUMMYFUNCTION(IF(A846="","",IFERROR(IMAGE(CONCATENATE("https://us.pandora.net/on/demandware.static/-/Sites-pandora-master-catalog/default/dwbb259ca6/productimages/singlepackshot/",LEFT(A846,FIND("-",A846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6" s="5" t="str">
        <f ca="1">IFERROR(ROWSDUMMYFUNCTION(IF(A846="","",CONCATENATE("https://us.pandora.net/on/demandware.static/-/Sites-pandora-master-catalog/default/dwbb259ca6/productimages/singlepackshot/",LEFT(A846,FIND("-",A846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7" spans="1:4" x14ac:dyDescent="0.25">
      <c r="A847" s="3" t="s">
        <v>849</v>
      </c>
      <c r="B847" s="4">
        <v>89</v>
      </c>
      <c r="C847" s="3" t="str">
        <f ca="1">IFERROR(ROWSDUMMYFUNCTION(IF(A847="","",IFERROR(IMAGE(CONCATENATE("https://us.pandora.net/on/demandware.static/-/Sites-pandora-master-catalog/default/dwbb259ca6/productimages/singlepackshot/",LEFT(A847,FIND("-",A847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7" s="5" t="str">
        <f ca="1">IFERROR(ROWSDUMMYFUNCTION(IF(A847="","",CONCATENATE("https://us.pandora.net/on/demandware.static/-/Sites-pandora-master-catalog/default/dwbb259ca6/productimages/singlepackshot/",LEFT(A847,FIND("-",A847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8" spans="1:4" x14ac:dyDescent="0.25">
      <c r="A848" s="3" t="s">
        <v>850</v>
      </c>
      <c r="B848" s="4">
        <v>89</v>
      </c>
      <c r="C848" s="3" t="str">
        <f ca="1">IFERROR(ROWSDUMMYFUNCTION(IF(A848="","",IFERROR(IMAGE(CONCATENATE("https://us.pandora.net/on/demandware.static/-/Sites-pandora-master-catalog/default/dwbb259ca6/productimages/singlepackshot/",LEFT(A848,FIND("-",A848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8" s="5" t="str">
        <f ca="1">IFERROR(ROWSDUMMYFUNCTION(IF(A848="","",CONCATENATE("https://us.pandora.net/on/demandware.static/-/Sites-pandora-master-catalog/default/dwbb259ca6/productimages/singlepackshot/",LEFT(A848,FIND("-",A848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49" spans="1:4" x14ac:dyDescent="0.25">
      <c r="A849" s="3" t="s">
        <v>851</v>
      </c>
      <c r="B849" s="4">
        <v>89</v>
      </c>
      <c r="C849" s="3" t="str">
        <f ca="1">IFERROR(ROWSDUMMYFUNCTION(IF(A849="","",IFERROR(IMAGE(CONCATENATE("https://us.pandora.net/on/demandware.static/-/Sites-pandora-master-catalog/default/dwbb259ca6/productimages/singlepackshot/",LEFT(A849,FIND("-",A849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49" s="5" t="str">
        <f ca="1">IFERROR(ROWSDUMMYFUNCTION(IF(A849="","",CONCATENATE("https://us.pandora.net/on/demandware.static/-/Sites-pandora-master-catalog/default/dwbb259ca6/productimages/singlepackshot/",LEFT(A849,FIND("-",A849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50" spans="1:4" x14ac:dyDescent="0.25">
      <c r="A850" s="3" t="s">
        <v>852</v>
      </c>
      <c r="B850" s="4">
        <v>89</v>
      </c>
      <c r="C850" s="3" t="str">
        <f ca="1">IFERROR(ROWSDUMMYFUNCTION(IF(A850="","",IFERROR(IMAGE(CONCATENATE("https://us.pandora.net/on/demandware.static/-/Sites-pandora-master-catalog/default/dwbb259ca6/productimages/singlepackshot/",LEFT(A850,FIND("-",A850&amp;"-")-1),"_RGB.png")),""))),"{""url"":""https://us.pandora.net/on/demandware.static/-/Sites-pandora-master-catalog/default/dwbb259ca6/productimages/singlepackshot/190050C01_RGB.png"",""mode"":1}")</f>
        <v>{"url":"https://us.pandora.net/on/demandware.static/-/Sites-pandora-master-catalog/default/dwbb259ca6/productimages/singlepackshot/190050C01_RGB.png","mode":1}</v>
      </c>
      <c r="D850" s="5" t="str">
        <f ca="1">IFERROR(ROWSDUMMYFUNCTION(IF(A850="","",CONCATENATE("https://us.pandora.net/on/demandware.static/-/Sites-pandora-master-catalog/default/dwbb259ca6/productimages/singlepackshot/",LEFT(A850,FIND("-",A850&amp;"-")-1),"_RGB.png"))),"https://us.pandora.net/on/demandware.static/-/Sites-pandora-master-catalog/default/dwbb259ca6/productimages/singlepackshot/190050C01_RGB.png")</f>
        <v>https://us.pandora.net/on/demandware.static/-/Sites-pandora-master-catalog/default/dwbb259ca6/productimages/singlepackshot/190050C01_RGB.png</v>
      </c>
    </row>
    <row r="851" spans="1:4" x14ac:dyDescent="0.25">
      <c r="A851" s="3" t="s">
        <v>853</v>
      </c>
      <c r="B851" s="4">
        <v>89</v>
      </c>
      <c r="C851" s="3" t="str">
        <f ca="1">IFERROR(ROWSDUMMYFUNCTION(IF(A851="","",IFERROR(IMAGE(CONCATENATE("https://us.pandora.net/on/demandware.static/-/Sites-pandora-master-catalog/default/dwbb259ca6/productimages/singlepackshot/",LEFT(A851,FIND("-",A851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1" s="5" t="str">
        <f ca="1">IFERROR(ROWSDUMMYFUNCTION(IF(A851="","",CONCATENATE("https://us.pandora.net/on/demandware.static/-/Sites-pandora-master-catalog/default/dwbb259ca6/productimages/singlepackshot/",LEFT(A851,FIND("-",A851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2" spans="1:4" x14ac:dyDescent="0.25">
      <c r="A852" s="3" t="s">
        <v>854</v>
      </c>
      <c r="B852" s="4">
        <v>89</v>
      </c>
      <c r="C852" s="3" t="str">
        <f ca="1">IFERROR(ROWSDUMMYFUNCTION(IF(A852="","",IFERROR(IMAGE(CONCATENATE("https://us.pandora.net/on/demandware.static/-/Sites-pandora-master-catalog/default/dwbb259ca6/productimages/singlepackshot/",LEFT(A852,FIND("-",A852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2" s="5" t="str">
        <f ca="1">IFERROR(ROWSDUMMYFUNCTION(IF(A852="","",CONCATENATE("https://us.pandora.net/on/demandware.static/-/Sites-pandora-master-catalog/default/dwbb259ca6/productimages/singlepackshot/",LEFT(A852,FIND("-",A852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3" spans="1:4" x14ac:dyDescent="0.25">
      <c r="A853" s="3" t="s">
        <v>855</v>
      </c>
      <c r="B853" s="4">
        <v>89</v>
      </c>
      <c r="C853" s="3" t="str">
        <f ca="1">IFERROR(ROWSDUMMYFUNCTION(IF(A853="","",IFERROR(IMAGE(CONCATENATE("https://us.pandora.net/on/demandware.static/-/Sites-pandora-master-catalog/default/dwbb259ca6/productimages/singlepackshot/",LEFT(A853,FIND("-",A853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3" s="5" t="str">
        <f ca="1">IFERROR(ROWSDUMMYFUNCTION(IF(A853="","",CONCATENATE("https://us.pandora.net/on/demandware.static/-/Sites-pandora-master-catalog/default/dwbb259ca6/productimages/singlepackshot/",LEFT(A853,FIND("-",A853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4" spans="1:4" x14ac:dyDescent="0.25">
      <c r="A854" s="3" t="s">
        <v>856</v>
      </c>
      <c r="B854" s="4">
        <v>89</v>
      </c>
      <c r="C854" s="3" t="str">
        <f ca="1">IFERROR(ROWSDUMMYFUNCTION(IF(A854="","",IFERROR(IMAGE(CONCATENATE("https://us.pandora.net/on/demandware.static/-/Sites-pandora-master-catalog/default/dwbb259ca6/productimages/singlepackshot/",LEFT(A854,FIND("-",A854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4" s="5" t="str">
        <f ca="1">IFERROR(ROWSDUMMYFUNCTION(IF(A854="","",CONCATENATE("https://us.pandora.net/on/demandware.static/-/Sites-pandora-master-catalog/default/dwbb259ca6/productimages/singlepackshot/",LEFT(A854,FIND("-",A854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5" spans="1:4" x14ac:dyDescent="0.25">
      <c r="A855" s="3" t="s">
        <v>857</v>
      </c>
      <c r="B855" s="4">
        <v>89</v>
      </c>
      <c r="C855" s="3" t="str">
        <f ca="1">IFERROR(ROWSDUMMYFUNCTION(IF(A855="","",IFERROR(IMAGE(CONCATENATE("https://us.pandora.net/on/demandware.static/-/Sites-pandora-master-catalog/default/dwbb259ca6/productimages/singlepackshot/",LEFT(A855,FIND("-",A855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5" s="5" t="str">
        <f ca="1">IFERROR(ROWSDUMMYFUNCTION(IF(A855="","",CONCATENATE("https://us.pandora.net/on/demandware.static/-/Sites-pandora-master-catalog/default/dwbb259ca6/productimages/singlepackshot/",LEFT(A855,FIND("-",A855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6" spans="1:4" x14ac:dyDescent="0.25">
      <c r="A856" s="3" t="s">
        <v>858</v>
      </c>
      <c r="B856" s="4">
        <v>89</v>
      </c>
      <c r="C856" s="3" t="str">
        <f ca="1">IFERROR(ROWSDUMMYFUNCTION(IF(A856="","",IFERROR(IMAGE(CONCATENATE("https://us.pandora.net/on/demandware.static/-/Sites-pandora-master-catalog/default/dwbb259ca6/productimages/singlepackshot/",LEFT(A856,FIND("-",A856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6" s="5" t="str">
        <f ca="1">IFERROR(ROWSDUMMYFUNCTION(IF(A856="","",CONCATENATE("https://us.pandora.net/on/demandware.static/-/Sites-pandora-master-catalog/default/dwbb259ca6/productimages/singlepackshot/",LEFT(A856,FIND("-",A856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7" spans="1:4" x14ac:dyDescent="0.25">
      <c r="A857" s="3" t="s">
        <v>859</v>
      </c>
      <c r="B857" s="4">
        <v>89</v>
      </c>
      <c r="C857" s="3" t="str">
        <f ca="1">IFERROR(ROWSDUMMYFUNCTION(IF(A857="","",IFERROR(IMAGE(CONCATENATE("https://us.pandora.net/on/demandware.static/-/Sites-pandora-master-catalog/default/dwbb259ca6/productimages/singlepackshot/",LEFT(A857,FIND("-",A857&amp;"-")-1),"_RGB.png")),""))),"{""url"":""https://us.pandora.net/on/demandware.static/-/Sites-pandora-master-catalog/default/dwbb259ca6/productimages/singlepackshot/190050C02_RGB.png"",""mode"":1}")</f>
        <v>{"url":"https://us.pandora.net/on/demandware.static/-/Sites-pandora-master-catalog/default/dwbb259ca6/productimages/singlepackshot/190050C02_RGB.png","mode":1}</v>
      </c>
      <c r="D857" s="5" t="str">
        <f ca="1">IFERROR(ROWSDUMMYFUNCTION(IF(A857="","",CONCATENATE("https://us.pandora.net/on/demandware.static/-/Sites-pandora-master-catalog/default/dwbb259ca6/productimages/singlepackshot/",LEFT(A857,FIND("-",A857&amp;"-")-1),"_RGB.png"))),"https://us.pandora.net/on/demandware.static/-/Sites-pandora-master-catalog/default/dwbb259ca6/productimages/singlepackshot/190050C02_RGB.png")</f>
        <v>https://us.pandora.net/on/demandware.static/-/Sites-pandora-master-catalog/default/dwbb259ca6/productimages/singlepackshot/190050C02_RGB.png</v>
      </c>
    </row>
    <row r="858" spans="1:4" x14ac:dyDescent="0.25">
      <c r="A858" s="3" t="s">
        <v>860</v>
      </c>
      <c r="B858" s="4">
        <v>69</v>
      </c>
      <c r="C858" s="3" t="str">
        <f ca="1">IFERROR(ROWSDUMMYFUNCTION(IF(A858="","",IFERROR(IMAGE(CONCATENATE("https://us.pandora.net/on/demandware.static/-/Sites-pandora-master-catalog/default/dwbb259ca6/productimages/singlepackshot/",LEFT(A858,FIND("-",A858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58" s="5" t="str">
        <f ca="1">IFERROR(ROWSDUMMYFUNCTION(IF(A858="","",CONCATENATE("https://us.pandora.net/on/demandware.static/-/Sites-pandora-master-catalog/default/dwbb259ca6/productimages/singlepackshot/",LEFT(A858,FIND("-",A858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59" spans="1:4" x14ac:dyDescent="0.25">
      <c r="A859" s="3" t="s">
        <v>861</v>
      </c>
      <c r="B859" s="4">
        <v>69</v>
      </c>
      <c r="C859" s="3" t="str">
        <f ca="1">IFERROR(ROWSDUMMYFUNCTION(IF(A859="","",IFERROR(IMAGE(CONCATENATE("https://us.pandora.net/on/demandware.static/-/Sites-pandora-master-catalog/default/dwbb259ca6/productimages/singlepackshot/",LEFT(A859,FIND("-",A859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59" s="5" t="str">
        <f ca="1">IFERROR(ROWSDUMMYFUNCTION(IF(A859="","",CONCATENATE("https://us.pandora.net/on/demandware.static/-/Sites-pandora-master-catalog/default/dwbb259ca6/productimages/singlepackshot/",LEFT(A859,FIND("-",A859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60" spans="1:4" x14ac:dyDescent="0.25">
      <c r="A860" s="3" t="s">
        <v>862</v>
      </c>
      <c r="B860" s="4">
        <v>69</v>
      </c>
      <c r="C860" s="3" t="str">
        <f ca="1">IFERROR(ROWSDUMMYFUNCTION(IF(A860="","",IFERROR(IMAGE(CONCATENATE("https://us.pandora.net/on/demandware.static/-/Sites-pandora-master-catalog/default/dwbb259ca6/productimages/singlepackshot/",LEFT(A860,FIND("-",A860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60" s="5" t="str">
        <f ca="1">IFERROR(ROWSDUMMYFUNCTION(IF(A860="","",CONCATENATE("https://us.pandora.net/on/demandware.static/-/Sites-pandora-master-catalog/default/dwbb259ca6/productimages/singlepackshot/",LEFT(A860,FIND("-",A860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61" spans="1:4" x14ac:dyDescent="0.25">
      <c r="A861" s="3" t="s">
        <v>863</v>
      </c>
      <c r="B861" s="4">
        <v>69</v>
      </c>
      <c r="C861" s="3" t="str">
        <f ca="1">IFERROR(ROWSDUMMYFUNCTION(IF(A861="","",IFERROR(IMAGE(CONCATENATE("https://us.pandora.net/on/demandware.static/-/Sites-pandora-master-catalog/default/dwbb259ca6/productimages/singlepackshot/",LEFT(A861,FIND("-",A861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61" s="5" t="str">
        <f ca="1">IFERROR(ROWSDUMMYFUNCTION(IF(A861="","",CONCATENATE("https://us.pandora.net/on/demandware.static/-/Sites-pandora-master-catalog/default/dwbb259ca6/productimages/singlepackshot/",LEFT(A861,FIND("-",A861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62" spans="1:4" x14ac:dyDescent="0.25">
      <c r="A862" s="3" t="s">
        <v>864</v>
      </c>
      <c r="B862" s="4">
        <v>69</v>
      </c>
      <c r="C862" s="3" t="str">
        <f ca="1">IFERROR(ROWSDUMMYFUNCTION(IF(A862="","",IFERROR(IMAGE(CONCATENATE("https://us.pandora.net/on/demandware.static/-/Sites-pandora-master-catalog/default/dwbb259ca6/productimages/singlepackshot/",LEFT(A862,FIND("-",A862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62" s="5" t="str">
        <f ca="1">IFERROR(ROWSDUMMYFUNCTION(IF(A862="","",CONCATENATE("https://us.pandora.net/on/demandware.static/-/Sites-pandora-master-catalog/default/dwbb259ca6/productimages/singlepackshot/",LEFT(A862,FIND("-",A862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63" spans="1:4" x14ac:dyDescent="0.25">
      <c r="A863" s="3" t="s">
        <v>865</v>
      </c>
      <c r="B863" s="4">
        <v>69</v>
      </c>
      <c r="C863" s="3" t="str">
        <f ca="1">IFERROR(ROWSDUMMYFUNCTION(IF(A863="","",IFERROR(IMAGE(CONCATENATE("https://us.pandora.net/on/demandware.static/-/Sites-pandora-master-catalog/default/dwbb259ca6/productimages/singlepackshot/",LEFT(A863,FIND("-",A863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63" s="5" t="str">
        <f ca="1">IFERROR(ROWSDUMMYFUNCTION(IF(A863="","",CONCATENATE("https://us.pandora.net/on/demandware.static/-/Sites-pandora-master-catalog/default/dwbb259ca6/productimages/singlepackshot/",LEFT(A863,FIND("-",A863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64" spans="1:4" x14ac:dyDescent="0.25">
      <c r="A864" s="3" t="s">
        <v>866</v>
      </c>
      <c r="B864" s="4">
        <v>69</v>
      </c>
      <c r="C864" s="3" t="str">
        <f ca="1">IFERROR(ROWSDUMMYFUNCTION(IF(A864="","",IFERROR(IMAGE(CONCATENATE("https://us.pandora.net/on/demandware.static/-/Sites-pandora-master-catalog/default/dwbb259ca6/productimages/singlepackshot/",LEFT(A864,FIND("-",A864&amp;"-")-1),"_RGB.png")),""))),"{""url"":""https://us.pandora.net/on/demandware.static/-/Sites-pandora-master-catalog/default/dwbb259ca6/productimages/singlepackshot/190052C01_RGB.png"",""mode"":1}")</f>
        <v>{"url":"https://us.pandora.net/on/demandware.static/-/Sites-pandora-master-catalog/default/dwbb259ca6/productimages/singlepackshot/190052C01_RGB.png","mode":1}</v>
      </c>
      <c r="D864" s="5" t="str">
        <f ca="1">IFERROR(ROWSDUMMYFUNCTION(IF(A864="","",CONCATENATE("https://us.pandora.net/on/demandware.static/-/Sites-pandora-master-catalog/default/dwbb259ca6/productimages/singlepackshot/",LEFT(A864,FIND("-",A864&amp;"-")-1),"_RGB.png"))),"https://us.pandora.net/on/demandware.static/-/Sites-pandora-master-catalog/default/dwbb259ca6/productimages/singlepackshot/190052C01_RGB.png")</f>
        <v>https://us.pandora.net/on/demandware.static/-/Sites-pandora-master-catalog/default/dwbb259ca6/productimages/singlepackshot/190052C01_RGB.png</v>
      </c>
    </row>
    <row r="865" spans="1:4" x14ac:dyDescent="0.25">
      <c r="A865" s="3" t="s">
        <v>867</v>
      </c>
      <c r="B865" s="4">
        <v>99</v>
      </c>
      <c r="C865" s="3" t="str">
        <f ca="1">IFERROR(ROWSDUMMYFUNCTION(IF(A865="","",IFERROR(IMAGE(CONCATENATE("https://us.pandora.net/on/demandware.static/-/Sites-pandora-master-catalog/default/dwbb259ca6/productimages/singlepackshot/",LEFT(A865,FIND("-",A865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65" s="5" t="str">
        <f ca="1">IFERROR(ROWSDUMMYFUNCTION(IF(A865="","",CONCATENATE("https://us.pandora.net/on/demandware.static/-/Sites-pandora-master-catalog/default/dwbb259ca6/productimages/singlepackshot/",LEFT(A865,FIND("-",A865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66" spans="1:4" x14ac:dyDescent="0.25">
      <c r="A866" s="3" t="s">
        <v>868</v>
      </c>
      <c r="B866" s="4">
        <v>99</v>
      </c>
      <c r="C866" s="3" t="str">
        <f ca="1">IFERROR(ROWSDUMMYFUNCTION(IF(A866="","",IFERROR(IMAGE(CONCATENATE("https://us.pandora.net/on/demandware.static/-/Sites-pandora-master-catalog/default/dwbb259ca6/productimages/singlepackshot/",LEFT(A866,FIND("-",A866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66" s="5" t="str">
        <f ca="1">IFERROR(ROWSDUMMYFUNCTION(IF(A866="","",CONCATENATE("https://us.pandora.net/on/demandware.static/-/Sites-pandora-master-catalog/default/dwbb259ca6/productimages/singlepackshot/",LEFT(A866,FIND("-",A866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67" spans="1:4" x14ac:dyDescent="0.25">
      <c r="A867" s="3" t="s">
        <v>869</v>
      </c>
      <c r="B867" s="4">
        <v>99</v>
      </c>
      <c r="C867" s="3" t="str">
        <f ca="1">IFERROR(ROWSDUMMYFUNCTION(IF(A867="","",IFERROR(IMAGE(CONCATENATE("https://us.pandora.net/on/demandware.static/-/Sites-pandora-master-catalog/default/dwbb259ca6/productimages/singlepackshot/",LEFT(A867,FIND("-",A867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67" s="5" t="str">
        <f ca="1">IFERROR(ROWSDUMMYFUNCTION(IF(A867="","",CONCATENATE("https://us.pandora.net/on/demandware.static/-/Sites-pandora-master-catalog/default/dwbb259ca6/productimages/singlepackshot/",LEFT(A867,FIND("-",A867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68" spans="1:4" x14ac:dyDescent="0.25">
      <c r="A868" s="3" t="s">
        <v>870</v>
      </c>
      <c r="B868" s="4">
        <v>99</v>
      </c>
      <c r="C868" s="3" t="str">
        <f ca="1">IFERROR(ROWSDUMMYFUNCTION(IF(A868="","",IFERROR(IMAGE(CONCATENATE("https://us.pandora.net/on/demandware.static/-/Sites-pandora-master-catalog/default/dwbb259ca6/productimages/singlepackshot/",LEFT(A868,FIND("-",A868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68" s="5" t="str">
        <f ca="1">IFERROR(ROWSDUMMYFUNCTION(IF(A868="","",CONCATENATE("https://us.pandora.net/on/demandware.static/-/Sites-pandora-master-catalog/default/dwbb259ca6/productimages/singlepackshot/",LEFT(A868,FIND("-",A868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69" spans="1:4" x14ac:dyDescent="0.25">
      <c r="A869" s="3" t="s">
        <v>871</v>
      </c>
      <c r="B869" s="4">
        <v>99</v>
      </c>
      <c r="C869" s="3" t="str">
        <f ca="1">IFERROR(ROWSDUMMYFUNCTION(IF(A869="","",IFERROR(IMAGE(CONCATENATE("https://us.pandora.net/on/demandware.static/-/Sites-pandora-master-catalog/default/dwbb259ca6/productimages/singlepackshot/",LEFT(A869,FIND("-",A869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69" s="5" t="str">
        <f ca="1">IFERROR(ROWSDUMMYFUNCTION(IF(A869="","",CONCATENATE("https://us.pandora.net/on/demandware.static/-/Sites-pandora-master-catalog/default/dwbb259ca6/productimages/singlepackshot/",LEFT(A869,FIND("-",A869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70" spans="1:4" x14ac:dyDescent="0.25">
      <c r="A870" s="3" t="s">
        <v>872</v>
      </c>
      <c r="B870" s="4">
        <v>99</v>
      </c>
      <c r="C870" s="3" t="str">
        <f ca="1">IFERROR(ROWSDUMMYFUNCTION(IF(A870="","",IFERROR(IMAGE(CONCATENATE("https://us.pandora.net/on/demandware.static/-/Sites-pandora-master-catalog/default/dwbb259ca6/productimages/singlepackshot/",LEFT(A870,FIND("-",A870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70" s="5" t="str">
        <f ca="1">IFERROR(ROWSDUMMYFUNCTION(IF(A870="","",CONCATENATE("https://us.pandora.net/on/demandware.static/-/Sites-pandora-master-catalog/default/dwbb259ca6/productimages/singlepackshot/",LEFT(A870,FIND("-",A870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71" spans="1:4" x14ac:dyDescent="0.25">
      <c r="A871" s="3" t="s">
        <v>873</v>
      </c>
      <c r="B871" s="4">
        <v>99</v>
      </c>
      <c r="C871" s="3" t="str">
        <f ca="1">IFERROR(ROWSDUMMYFUNCTION(IF(A871="","",IFERROR(IMAGE(CONCATENATE("https://us.pandora.net/on/demandware.static/-/Sites-pandora-master-catalog/default/dwbb259ca6/productimages/singlepackshot/",LEFT(A871,FIND("-",A871&amp;"-")-1),"_RGB.png")),""))),"{""url"":""https://us.pandora.net/on/demandware.static/-/Sites-pandora-master-catalog/default/dwbb259ca6/productimages/singlepackshot/190056C01_RGB.png"",""mode"":1}")</f>
        <v>{"url":"https://us.pandora.net/on/demandware.static/-/Sites-pandora-master-catalog/default/dwbb259ca6/productimages/singlepackshot/190056C01_RGB.png","mode":1}</v>
      </c>
      <c r="D871" s="5" t="str">
        <f ca="1">IFERROR(ROWSDUMMYFUNCTION(IF(A871="","",CONCATENATE("https://us.pandora.net/on/demandware.static/-/Sites-pandora-master-catalog/default/dwbb259ca6/productimages/singlepackshot/",LEFT(A871,FIND("-",A871&amp;"-")-1),"_RGB.png"))),"https://us.pandora.net/on/demandware.static/-/Sites-pandora-master-catalog/default/dwbb259ca6/productimages/singlepackshot/190056C01_RGB.png")</f>
        <v>https://us.pandora.net/on/demandware.static/-/Sites-pandora-master-catalog/default/dwbb259ca6/productimages/singlepackshot/190056C01_RGB.png</v>
      </c>
    </row>
    <row r="872" spans="1:4" x14ac:dyDescent="0.25">
      <c r="A872" s="3" t="s">
        <v>874</v>
      </c>
      <c r="B872" s="4">
        <v>69</v>
      </c>
      <c r="C872" s="3" t="str">
        <f ca="1">IFERROR(ROWSDUMMYFUNCTION(IF(A872="","",IFERROR(IMAGE(CONCATENATE("https://us.pandora.net/on/demandware.static/-/Sites-pandora-master-catalog/default/dwbb259ca6/productimages/singlepackshot/",LEFT(A872,FIND("-",A872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2" s="5" t="str">
        <f ca="1">IFERROR(ROWSDUMMYFUNCTION(IF(A872="","",CONCATENATE("https://us.pandora.net/on/demandware.static/-/Sites-pandora-master-catalog/default/dwbb259ca6/productimages/singlepackshot/",LEFT(A872,FIND("-",A872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3" spans="1:4" x14ac:dyDescent="0.25">
      <c r="A873" s="3" t="s">
        <v>875</v>
      </c>
      <c r="B873" s="4">
        <v>69</v>
      </c>
      <c r="C873" s="3" t="str">
        <f ca="1">IFERROR(ROWSDUMMYFUNCTION(IF(A873="","",IFERROR(IMAGE(CONCATENATE("https://us.pandora.net/on/demandware.static/-/Sites-pandora-master-catalog/default/dwbb259ca6/productimages/singlepackshot/",LEFT(A873,FIND("-",A873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3" s="5" t="str">
        <f ca="1">IFERROR(ROWSDUMMYFUNCTION(IF(A873="","",CONCATENATE("https://us.pandora.net/on/demandware.static/-/Sites-pandora-master-catalog/default/dwbb259ca6/productimages/singlepackshot/",LEFT(A873,FIND("-",A873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4" spans="1:4" x14ac:dyDescent="0.25">
      <c r="A874" s="3" t="s">
        <v>876</v>
      </c>
      <c r="B874" s="4">
        <v>69</v>
      </c>
      <c r="C874" s="3" t="str">
        <f ca="1">IFERROR(ROWSDUMMYFUNCTION(IF(A874="","",IFERROR(IMAGE(CONCATENATE("https://us.pandora.net/on/demandware.static/-/Sites-pandora-master-catalog/default/dwbb259ca6/productimages/singlepackshot/",LEFT(A874,FIND("-",A874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4" s="5" t="str">
        <f ca="1">IFERROR(ROWSDUMMYFUNCTION(IF(A874="","",CONCATENATE("https://us.pandora.net/on/demandware.static/-/Sites-pandora-master-catalog/default/dwbb259ca6/productimages/singlepackshot/",LEFT(A874,FIND("-",A874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5" spans="1:4" x14ac:dyDescent="0.25">
      <c r="A875" s="3" t="s">
        <v>877</v>
      </c>
      <c r="B875" s="4">
        <v>69</v>
      </c>
      <c r="C875" s="3" t="str">
        <f ca="1">IFERROR(ROWSDUMMYFUNCTION(IF(A875="","",IFERROR(IMAGE(CONCATENATE("https://us.pandora.net/on/demandware.static/-/Sites-pandora-master-catalog/default/dwbb259ca6/productimages/singlepackshot/",LEFT(A875,FIND("-",A875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5" s="5" t="str">
        <f ca="1">IFERROR(ROWSDUMMYFUNCTION(IF(A875="","",CONCATENATE("https://us.pandora.net/on/demandware.static/-/Sites-pandora-master-catalog/default/dwbb259ca6/productimages/singlepackshot/",LEFT(A875,FIND("-",A875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6" spans="1:4" x14ac:dyDescent="0.25">
      <c r="A876" s="3" t="s">
        <v>878</v>
      </c>
      <c r="B876" s="4">
        <v>69</v>
      </c>
      <c r="C876" s="3" t="str">
        <f ca="1">IFERROR(ROWSDUMMYFUNCTION(IF(A876="","",IFERROR(IMAGE(CONCATENATE("https://us.pandora.net/on/demandware.static/-/Sites-pandora-master-catalog/default/dwbb259ca6/productimages/singlepackshot/",LEFT(A876,FIND("-",A876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6" s="5" t="str">
        <f ca="1">IFERROR(ROWSDUMMYFUNCTION(IF(A876="","",CONCATENATE("https://us.pandora.net/on/demandware.static/-/Sites-pandora-master-catalog/default/dwbb259ca6/productimages/singlepackshot/",LEFT(A876,FIND("-",A876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7" spans="1:4" x14ac:dyDescent="0.25">
      <c r="A877" s="3" t="s">
        <v>879</v>
      </c>
      <c r="B877" s="4">
        <v>69</v>
      </c>
      <c r="C877" s="3" t="str">
        <f ca="1">IFERROR(ROWSDUMMYFUNCTION(IF(A877="","",IFERROR(IMAGE(CONCATENATE("https://us.pandora.net/on/demandware.static/-/Sites-pandora-master-catalog/default/dwbb259ca6/productimages/singlepackshot/",LEFT(A877,FIND("-",A877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7" s="5" t="str">
        <f ca="1">IFERROR(ROWSDUMMYFUNCTION(IF(A877="","",CONCATENATE("https://us.pandora.net/on/demandware.static/-/Sites-pandora-master-catalog/default/dwbb259ca6/productimages/singlepackshot/",LEFT(A877,FIND("-",A877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8" spans="1:4" x14ac:dyDescent="0.25">
      <c r="A878" s="3" t="s">
        <v>880</v>
      </c>
      <c r="B878" s="4">
        <v>69</v>
      </c>
      <c r="C878" s="3" t="str">
        <f ca="1">IFERROR(ROWSDUMMYFUNCTION(IF(A878="","",IFERROR(IMAGE(CONCATENATE("https://us.pandora.net/on/demandware.static/-/Sites-pandora-master-catalog/default/dwbb259ca6/productimages/singlepackshot/",LEFT(A878,FIND("-",A878&amp;"-")-1),"_RGB.png")),""))),"{""url"":""https://us.pandora.net/on/demandware.static/-/Sites-pandora-master-catalog/default/dwbb259ca6/productimages/singlepackshot/190074C01_RGB.png"",""mode"":1}")</f>
        <v>{"url":"https://us.pandora.net/on/demandware.static/-/Sites-pandora-master-catalog/default/dwbb259ca6/productimages/singlepackshot/190074C01_RGB.png","mode":1}</v>
      </c>
      <c r="D878" s="5" t="str">
        <f ca="1">IFERROR(ROWSDUMMYFUNCTION(IF(A878="","",CONCATENATE("https://us.pandora.net/on/demandware.static/-/Sites-pandora-master-catalog/default/dwbb259ca6/productimages/singlepackshot/",LEFT(A878,FIND("-",A878&amp;"-")-1),"_RGB.png"))),"https://us.pandora.net/on/demandware.static/-/Sites-pandora-master-catalog/default/dwbb259ca6/productimages/singlepackshot/190074C01_RGB.png")</f>
        <v>https://us.pandora.net/on/demandware.static/-/Sites-pandora-master-catalog/default/dwbb259ca6/productimages/singlepackshot/190074C01_RGB.png</v>
      </c>
    </row>
    <row r="879" spans="1:4" x14ac:dyDescent="0.25">
      <c r="A879" s="3" t="s">
        <v>881</v>
      </c>
      <c r="B879" s="4">
        <v>59</v>
      </c>
      <c r="C879" s="3" t="str">
        <f ca="1">IFERROR(ROWSDUMMYFUNCTION(IF(A879="","",IFERROR(IMAGE(CONCATENATE("https://us.pandora.net/on/demandware.static/-/Sites-pandora-master-catalog/default/dwbb259ca6/productimages/singlepackshot/",LEFT(A879,FIND("-",A879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79" s="5" t="str">
        <f ca="1">IFERROR(ROWSDUMMYFUNCTION(IF(A879="","",CONCATENATE("https://us.pandora.net/on/demandware.static/-/Sites-pandora-master-catalog/default/dwbb259ca6/productimages/singlepackshot/",LEFT(A879,FIND("-",A879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0" spans="1:4" x14ac:dyDescent="0.25">
      <c r="A880" s="3" t="s">
        <v>882</v>
      </c>
      <c r="B880" s="4">
        <v>59</v>
      </c>
      <c r="C880" s="3" t="str">
        <f ca="1">IFERROR(ROWSDUMMYFUNCTION(IF(A880="","",IFERROR(IMAGE(CONCATENATE("https://us.pandora.net/on/demandware.static/-/Sites-pandora-master-catalog/default/dwbb259ca6/productimages/singlepackshot/",LEFT(A880,FIND("-",A880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80" s="5" t="str">
        <f ca="1">IFERROR(ROWSDUMMYFUNCTION(IF(A880="","",CONCATENATE("https://us.pandora.net/on/demandware.static/-/Sites-pandora-master-catalog/default/dwbb259ca6/productimages/singlepackshot/",LEFT(A880,FIND("-",A880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1" spans="1:4" x14ac:dyDescent="0.25">
      <c r="A881" s="3" t="s">
        <v>883</v>
      </c>
      <c r="B881" s="4">
        <v>59</v>
      </c>
      <c r="C881" s="3" t="str">
        <f ca="1">IFERROR(ROWSDUMMYFUNCTION(IF(A881="","",IFERROR(IMAGE(CONCATENATE("https://us.pandora.net/on/demandware.static/-/Sites-pandora-master-catalog/default/dwbb259ca6/productimages/singlepackshot/",LEFT(A881,FIND("-",A881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81" s="5" t="str">
        <f ca="1">IFERROR(ROWSDUMMYFUNCTION(IF(A881="","",CONCATENATE("https://us.pandora.net/on/demandware.static/-/Sites-pandora-master-catalog/default/dwbb259ca6/productimages/singlepackshot/",LEFT(A881,FIND("-",A881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2" spans="1:4" x14ac:dyDescent="0.25">
      <c r="A882" s="3" t="s">
        <v>884</v>
      </c>
      <c r="B882" s="4">
        <v>59</v>
      </c>
      <c r="C882" s="3" t="str">
        <f ca="1">IFERROR(ROWSDUMMYFUNCTION(IF(A882="","",IFERROR(IMAGE(CONCATENATE("https://us.pandora.net/on/demandware.static/-/Sites-pandora-master-catalog/default/dwbb259ca6/productimages/singlepackshot/",LEFT(A882,FIND("-",A882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82" s="5" t="str">
        <f ca="1">IFERROR(ROWSDUMMYFUNCTION(IF(A882="","",CONCATENATE("https://us.pandora.net/on/demandware.static/-/Sites-pandora-master-catalog/default/dwbb259ca6/productimages/singlepackshot/",LEFT(A882,FIND("-",A882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3" spans="1:4" x14ac:dyDescent="0.25">
      <c r="A883" s="3" t="s">
        <v>885</v>
      </c>
      <c r="B883" s="4">
        <v>59</v>
      </c>
      <c r="C883" s="3" t="str">
        <f ca="1">IFERROR(ROWSDUMMYFUNCTION(IF(A883="","",IFERROR(IMAGE(CONCATENATE("https://us.pandora.net/on/demandware.static/-/Sites-pandora-master-catalog/default/dwbb259ca6/productimages/singlepackshot/",LEFT(A883,FIND("-",A883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83" s="5" t="str">
        <f ca="1">IFERROR(ROWSDUMMYFUNCTION(IF(A883="","",CONCATENATE("https://us.pandora.net/on/demandware.static/-/Sites-pandora-master-catalog/default/dwbb259ca6/productimages/singlepackshot/",LEFT(A883,FIND("-",A883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4" spans="1:4" x14ac:dyDescent="0.25">
      <c r="A884" s="3" t="s">
        <v>886</v>
      </c>
      <c r="B884" s="4">
        <v>59</v>
      </c>
      <c r="C884" s="3" t="str">
        <f ca="1">IFERROR(ROWSDUMMYFUNCTION(IF(A884="","",IFERROR(IMAGE(CONCATENATE("https://us.pandora.net/on/demandware.static/-/Sites-pandora-master-catalog/default/dwbb259ca6/productimages/singlepackshot/",LEFT(A884,FIND("-",A884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84" s="5" t="str">
        <f ca="1">IFERROR(ROWSDUMMYFUNCTION(IF(A884="","",CONCATENATE("https://us.pandora.net/on/demandware.static/-/Sites-pandora-master-catalog/default/dwbb259ca6/productimages/singlepackshot/",LEFT(A884,FIND("-",A884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5" spans="1:4" x14ac:dyDescent="0.25">
      <c r="A885" s="3" t="s">
        <v>887</v>
      </c>
      <c r="B885" s="4">
        <v>59</v>
      </c>
      <c r="C885" s="3" t="str">
        <f ca="1">IFERROR(ROWSDUMMYFUNCTION(IF(A885="","",IFERROR(IMAGE(CONCATENATE("https://us.pandora.net/on/demandware.static/-/Sites-pandora-master-catalog/default/dwbb259ca6/productimages/singlepackshot/",LEFT(A885,FIND("-",A885&amp;"-")-1),"_RGB.png")),""))),"{""url"":""https://us.pandora.net/on/demandware.static/-/Sites-pandora-master-catalog/default/dwbb259ca6/productimages/singlepackshot/190880CZ_RGB.png"",""mode"":1}")</f>
        <v>{"url":"https://us.pandora.net/on/demandware.static/-/Sites-pandora-master-catalog/default/dwbb259ca6/productimages/singlepackshot/190880CZ_RGB.png","mode":1}</v>
      </c>
      <c r="D885" s="5" t="str">
        <f ca="1">IFERROR(ROWSDUMMYFUNCTION(IF(A885="","",CONCATENATE("https://us.pandora.net/on/demandware.static/-/Sites-pandora-master-catalog/default/dwbb259ca6/productimages/singlepackshot/",LEFT(A885,FIND("-",A885&amp;"-")-1),"_RGB.png"))),"https://us.pandora.net/on/demandware.static/-/Sites-pandora-master-catalog/default/dwbb259ca6/productimages/singlepackshot/190880CZ_RGB.png")</f>
        <v>https://us.pandora.net/on/demandware.static/-/Sites-pandora-master-catalog/default/dwbb259ca6/productimages/singlepackshot/190880CZ_RGB.png</v>
      </c>
    </row>
    <row r="886" spans="1:4" x14ac:dyDescent="0.25">
      <c r="A886" s="3" t="s">
        <v>888</v>
      </c>
      <c r="B886" s="4">
        <v>99</v>
      </c>
      <c r="C886" s="3" t="str">
        <f ca="1">IFERROR(ROWSDUMMYFUNCTION(IF(A886="","",IFERROR(IMAGE(CONCATENATE("https://us.pandora.net/on/demandware.static/-/Sites-pandora-master-catalog/default/dwbb259ca6/productimages/singlepackshot/",LEFT(A886,FIND("-",A886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86" s="5" t="str">
        <f ca="1">IFERROR(ROWSDUMMYFUNCTION(IF(A886="","",CONCATENATE("https://us.pandora.net/on/demandware.static/-/Sites-pandora-master-catalog/default/dwbb259ca6/productimages/singlepackshot/",LEFT(A886,FIND("-",A886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87" spans="1:4" x14ac:dyDescent="0.25">
      <c r="A887" s="3" t="s">
        <v>889</v>
      </c>
      <c r="B887" s="4">
        <v>99</v>
      </c>
      <c r="C887" s="3" t="str">
        <f ca="1">IFERROR(ROWSDUMMYFUNCTION(IF(A887="","",IFERROR(IMAGE(CONCATENATE("https://us.pandora.net/on/demandware.static/-/Sites-pandora-master-catalog/default/dwbb259ca6/productimages/singlepackshot/",LEFT(A887,FIND("-",A887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87" s="5" t="str">
        <f ca="1">IFERROR(ROWSDUMMYFUNCTION(IF(A887="","",CONCATENATE("https://us.pandora.net/on/demandware.static/-/Sites-pandora-master-catalog/default/dwbb259ca6/productimages/singlepackshot/",LEFT(A887,FIND("-",A887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88" spans="1:4" x14ac:dyDescent="0.25">
      <c r="A888" s="3" t="s">
        <v>890</v>
      </c>
      <c r="B888" s="4">
        <v>99</v>
      </c>
      <c r="C888" s="3" t="str">
        <f ca="1">IFERROR(ROWSDUMMYFUNCTION(IF(A888="","",IFERROR(IMAGE(CONCATENATE("https://us.pandora.net/on/demandware.static/-/Sites-pandora-master-catalog/default/dwbb259ca6/productimages/singlepackshot/",LEFT(A888,FIND("-",A888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88" s="5" t="str">
        <f ca="1">IFERROR(ROWSDUMMYFUNCTION(IF(A888="","",CONCATENATE("https://us.pandora.net/on/demandware.static/-/Sites-pandora-master-catalog/default/dwbb259ca6/productimages/singlepackshot/",LEFT(A888,FIND("-",A888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89" spans="1:4" x14ac:dyDescent="0.25">
      <c r="A889" s="3" t="s">
        <v>891</v>
      </c>
      <c r="B889" s="4">
        <v>99</v>
      </c>
      <c r="C889" s="3" t="str">
        <f ca="1">IFERROR(ROWSDUMMYFUNCTION(IF(A889="","",IFERROR(IMAGE(CONCATENATE("https://us.pandora.net/on/demandware.static/-/Sites-pandora-master-catalog/default/dwbb259ca6/productimages/singlepackshot/",LEFT(A889,FIND("-",A889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89" s="5" t="str">
        <f ca="1">IFERROR(ROWSDUMMYFUNCTION(IF(A889="","",CONCATENATE("https://us.pandora.net/on/demandware.static/-/Sites-pandora-master-catalog/default/dwbb259ca6/productimages/singlepackshot/",LEFT(A889,FIND("-",A889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90" spans="1:4" x14ac:dyDescent="0.25">
      <c r="A890" s="3" t="s">
        <v>892</v>
      </c>
      <c r="B890" s="4">
        <v>99</v>
      </c>
      <c r="C890" s="3" t="str">
        <f ca="1">IFERROR(ROWSDUMMYFUNCTION(IF(A890="","",IFERROR(IMAGE(CONCATENATE("https://us.pandora.net/on/demandware.static/-/Sites-pandora-master-catalog/default/dwbb259ca6/productimages/singlepackshot/",LEFT(A890,FIND("-",A890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90" s="5" t="str">
        <f ca="1">IFERROR(ROWSDUMMYFUNCTION(IF(A890="","",CONCATENATE("https://us.pandora.net/on/demandware.static/-/Sites-pandora-master-catalog/default/dwbb259ca6/productimages/singlepackshot/",LEFT(A890,FIND("-",A890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91" spans="1:4" x14ac:dyDescent="0.25">
      <c r="A891" s="3" t="s">
        <v>893</v>
      </c>
      <c r="B891" s="4">
        <v>99</v>
      </c>
      <c r="C891" s="3" t="str">
        <f ca="1">IFERROR(ROWSDUMMYFUNCTION(IF(A891="","",IFERROR(IMAGE(CONCATENATE("https://us.pandora.net/on/demandware.static/-/Sites-pandora-master-catalog/default/dwbb259ca6/productimages/singlepackshot/",LEFT(A891,FIND("-",A891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91" s="5" t="str">
        <f ca="1">IFERROR(ROWSDUMMYFUNCTION(IF(A891="","",CONCATENATE("https://us.pandora.net/on/demandware.static/-/Sites-pandora-master-catalog/default/dwbb259ca6/productimages/singlepackshot/",LEFT(A891,FIND("-",A891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92" spans="1:4" x14ac:dyDescent="0.25">
      <c r="A892" s="3" t="s">
        <v>894</v>
      </c>
      <c r="B892" s="4">
        <v>99</v>
      </c>
      <c r="C892" s="3" t="str">
        <f ca="1">IFERROR(ROWSDUMMYFUNCTION(IF(A892="","",IFERROR(IMAGE(CONCATENATE("https://us.pandora.net/on/demandware.static/-/Sites-pandora-master-catalog/default/dwbb259ca6/productimages/singlepackshot/",LEFT(A892,FIND("-",A892&amp;"-")-1),"_RGB.png")),""))),"{""url"":""https://us.pandora.net/on/demandware.static/-/Sites-pandora-master-catalog/default/dwbb259ca6/productimages/singlepackshot/190892CZ_RGB.png"",""mode"":1}")</f>
        <v>{"url":"https://us.pandora.net/on/demandware.static/-/Sites-pandora-master-catalog/default/dwbb259ca6/productimages/singlepackshot/190892CZ_RGB.png","mode":1}</v>
      </c>
      <c r="D892" s="5" t="str">
        <f ca="1">IFERROR(ROWSDUMMYFUNCTION(IF(A892="","",CONCATENATE("https://us.pandora.net/on/demandware.static/-/Sites-pandora-master-catalog/default/dwbb259ca6/productimages/singlepackshot/",LEFT(A892,FIND("-",A892&amp;"-")-1),"_RGB.png"))),"https://us.pandora.net/on/demandware.static/-/Sites-pandora-master-catalog/default/dwbb259ca6/productimages/singlepackshot/190892CZ_RGB.png")</f>
        <v>https://us.pandora.net/on/demandware.static/-/Sites-pandora-master-catalog/default/dwbb259ca6/productimages/singlepackshot/190892CZ_RGB.png</v>
      </c>
    </row>
    <row r="893" spans="1:4" x14ac:dyDescent="0.25">
      <c r="A893" s="3" t="s">
        <v>895</v>
      </c>
      <c r="B893" s="4">
        <v>129</v>
      </c>
      <c r="C893" s="3" t="str">
        <f ca="1">IFERROR(ROWSDUMMYFUNCTION(IF(A893="","",IFERROR(IMAGE(CONCATENATE("https://us.pandora.net/on/demandware.static/-/Sites-pandora-master-catalog/default/dwbb259ca6/productimages/singlepackshot/",LEFT(A893,FIND("-",A893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3" s="5" t="str">
        <f ca="1">IFERROR(ROWSDUMMYFUNCTION(IF(A893="","",CONCATENATE("https://us.pandora.net/on/demandware.static/-/Sites-pandora-master-catalog/default/dwbb259ca6/productimages/singlepackshot/",LEFT(A893,FIND("-",A893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894" spans="1:4" x14ac:dyDescent="0.25">
      <c r="A894" s="3" t="s">
        <v>896</v>
      </c>
      <c r="B894" s="4">
        <v>129</v>
      </c>
      <c r="C894" s="3" t="str">
        <f ca="1">IFERROR(ROWSDUMMYFUNCTION(IF(A894="","",IFERROR(IMAGE(CONCATENATE("https://us.pandora.net/on/demandware.static/-/Sites-pandora-master-catalog/default/dwbb259ca6/productimages/singlepackshot/",LEFT(A894,FIND("-",A894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4" s="5" t="str">
        <f ca="1">IFERROR(ROWSDUMMYFUNCTION(IF(A894="","",CONCATENATE("https://us.pandora.net/on/demandware.static/-/Sites-pandora-master-catalog/default/dwbb259ca6/productimages/singlepackshot/",LEFT(A894,FIND("-",A894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895" spans="1:4" x14ac:dyDescent="0.25">
      <c r="A895" s="3" t="s">
        <v>897</v>
      </c>
      <c r="B895" s="4">
        <v>129</v>
      </c>
      <c r="C895" s="3" t="str">
        <f ca="1">IFERROR(ROWSDUMMYFUNCTION(IF(A895="","",IFERROR(IMAGE(CONCATENATE("https://us.pandora.net/on/demandware.static/-/Sites-pandora-master-catalog/default/dwbb259ca6/productimages/singlepackshot/",LEFT(A895,FIND("-",A895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5" s="5" t="str">
        <f ca="1">IFERROR(ROWSDUMMYFUNCTION(IF(A895="","",CONCATENATE("https://us.pandora.net/on/demandware.static/-/Sites-pandora-master-catalog/default/dwbb259ca6/productimages/singlepackshot/",LEFT(A895,FIND("-",A895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896" spans="1:4" x14ac:dyDescent="0.25">
      <c r="A896" s="3" t="s">
        <v>898</v>
      </c>
      <c r="B896" s="4">
        <v>129</v>
      </c>
      <c r="C896" s="3" t="str">
        <f ca="1">IFERROR(ROWSDUMMYFUNCTION(IF(A896="","",IFERROR(IMAGE(CONCATENATE("https://us.pandora.net/on/demandware.static/-/Sites-pandora-master-catalog/default/dwbb259ca6/productimages/singlepackshot/",LEFT(A896,FIND("-",A896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6" s="5" t="str">
        <f ca="1">IFERROR(ROWSDUMMYFUNCTION(IF(A896="","",CONCATENATE("https://us.pandora.net/on/demandware.static/-/Sites-pandora-master-catalog/default/dwbb259ca6/productimages/singlepackshot/",LEFT(A896,FIND("-",A896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897" spans="1:4" x14ac:dyDescent="0.25">
      <c r="A897" s="3" t="s">
        <v>899</v>
      </c>
      <c r="B897" s="4">
        <v>129</v>
      </c>
      <c r="C897" s="3" t="str">
        <f ca="1">IFERROR(ROWSDUMMYFUNCTION(IF(A897="","",IFERROR(IMAGE(CONCATENATE("https://us.pandora.net/on/demandware.static/-/Sites-pandora-master-catalog/default/dwbb259ca6/productimages/singlepackshot/",LEFT(A897,FIND("-",A897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7" s="5" t="str">
        <f ca="1">IFERROR(ROWSDUMMYFUNCTION(IF(A897="","",CONCATENATE("https://us.pandora.net/on/demandware.static/-/Sites-pandora-master-catalog/default/dwbb259ca6/productimages/singlepackshot/",LEFT(A897,FIND("-",A897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898" spans="1:4" x14ac:dyDescent="0.25">
      <c r="A898" s="3" t="s">
        <v>900</v>
      </c>
      <c r="B898" s="4">
        <v>129</v>
      </c>
      <c r="C898" s="3" t="str">
        <f ca="1">IFERROR(ROWSDUMMYFUNCTION(IF(A898="","",IFERROR(IMAGE(CONCATENATE("https://us.pandora.net/on/demandware.static/-/Sites-pandora-master-catalog/default/dwbb259ca6/productimages/singlepackshot/",LEFT(A898,FIND("-",A898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8" s="5" t="str">
        <f ca="1">IFERROR(ROWSDUMMYFUNCTION(IF(A898="","",CONCATENATE("https://us.pandora.net/on/demandware.static/-/Sites-pandora-master-catalog/default/dwbb259ca6/productimages/singlepackshot/",LEFT(A898,FIND("-",A898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899" spans="1:4" x14ac:dyDescent="0.25">
      <c r="A899" s="3" t="s">
        <v>901</v>
      </c>
      <c r="B899" s="4">
        <v>129</v>
      </c>
      <c r="C899" s="3" t="str">
        <f ca="1">IFERROR(ROWSDUMMYFUNCTION(IF(A899="","",IFERROR(IMAGE(CONCATENATE("https://us.pandora.net/on/demandware.static/-/Sites-pandora-master-catalog/default/dwbb259ca6/productimages/singlepackshot/",LEFT(A899,FIND("-",A899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899" s="5" t="str">
        <f ca="1">IFERROR(ROWSDUMMYFUNCTION(IF(A899="","",CONCATENATE("https://us.pandora.net/on/demandware.static/-/Sites-pandora-master-catalog/default/dwbb259ca6/productimages/singlepackshot/",LEFT(A899,FIND("-",A899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900" spans="1:4" x14ac:dyDescent="0.25">
      <c r="A900" s="3" t="s">
        <v>902</v>
      </c>
      <c r="B900" s="4">
        <v>129</v>
      </c>
      <c r="C900" s="3" t="str">
        <f ca="1">IFERROR(ROWSDUMMYFUNCTION(IF(A900="","",IFERROR(IMAGE(CONCATENATE("https://us.pandora.net/on/demandware.static/-/Sites-pandora-master-catalog/default/dwbb259ca6/productimages/singlepackshot/",LEFT(A900,FIND("-",A900&amp;"-")-1),"_RGB.png")),""))),"{""url"":""https://us.pandora.net/on/demandware.static/-/Sites-pandora-master-catalog/default/dwbb259ca6/productimages/singlepackshot/190919CZ_RGB.png"",""mode"":1}")</f>
        <v>{"url":"https://us.pandora.net/on/demandware.static/-/Sites-pandora-master-catalog/default/dwbb259ca6/productimages/singlepackshot/190919CZ_RGB.png","mode":1}</v>
      </c>
      <c r="D900" s="5" t="str">
        <f ca="1">IFERROR(ROWSDUMMYFUNCTION(IF(A900="","",CONCATENATE("https://us.pandora.net/on/demandware.static/-/Sites-pandora-master-catalog/default/dwbb259ca6/productimages/singlepackshot/",LEFT(A900,FIND("-",A900&amp;"-")-1),"_RGB.png"))),"https://us.pandora.net/on/demandware.static/-/Sites-pandora-master-catalog/default/dwbb259ca6/productimages/singlepackshot/190919CZ_RGB.png")</f>
        <v>https://us.pandora.net/on/demandware.static/-/Sites-pandora-master-catalog/default/dwbb259ca6/productimages/singlepackshot/190919CZ_RGB.png</v>
      </c>
    </row>
    <row r="901" spans="1:4" x14ac:dyDescent="0.25">
      <c r="A901" s="3" t="s">
        <v>903</v>
      </c>
      <c r="B901" s="4">
        <v>79</v>
      </c>
      <c r="C901" s="3" t="str">
        <f ca="1">IFERROR(ROWSDUMMYFUNCTION(IF(A901="","",IFERROR(IMAGE(CONCATENATE("https://us.pandora.net/on/demandware.static/-/Sites-pandora-master-catalog/default/dwbb259ca6/productimages/singlepackshot/",LEFT(A901,FIND("-",A901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1" s="5" t="str">
        <f ca="1">IFERROR(ROWSDUMMYFUNCTION(IF(A901="","",CONCATENATE("https://us.pandora.net/on/demandware.static/-/Sites-pandora-master-catalog/default/dwbb259ca6/productimages/singlepackshot/",LEFT(A901,FIND("-",A901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2" spans="1:4" x14ac:dyDescent="0.25">
      <c r="A902" s="3" t="s">
        <v>904</v>
      </c>
      <c r="B902" s="4">
        <v>79</v>
      </c>
      <c r="C902" s="3" t="str">
        <f ca="1">IFERROR(ROWSDUMMYFUNCTION(IF(A902="","",IFERROR(IMAGE(CONCATENATE("https://us.pandora.net/on/demandware.static/-/Sites-pandora-master-catalog/default/dwbb259ca6/productimages/singlepackshot/",LEFT(A902,FIND("-",A902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2" s="5" t="str">
        <f ca="1">IFERROR(ROWSDUMMYFUNCTION(IF(A902="","",CONCATENATE("https://us.pandora.net/on/demandware.static/-/Sites-pandora-master-catalog/default/dwbb259ca6/productimages/singlepackshot/",LEFT(A902,FIND("-",A902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3" spans="1:4" x14ac:dyDescent="0.25">
      <c r="A903" s="3" t="s">
        <v>905</v>
      </c>
      <c r="B903" s="4">
        <v>79</v>
      </c>
      <c r="C903" s="3" t="str">
        <f ca="1">IFERROR(ROWSDUMMYFUNCTION(IF(A903="","",IFERROR(IMAGE(CONCATENATE("https://us.pandora.net/on/demandware.static/-/Sites-pandora-master-catalog/default/dwbb259ca6/productimages/singlepackshot/",LEFT(A903,FIND("-",A903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3" s="5" t="str">
        <f ca="1">IFERROR(ROWSDUMMYFUNCTION(IF(A903="","",CONCATENATE("https://us.pandora.net/on/demandware.static/-/Sites-pandora-master-catalog/default/dwbb259ca6/productimages/singlepackshot/",LEFT(A903,FIND("-",A903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4" spans="1:4" x14ac:dyDescent="0.25">
      <c r="A904" s="3" t="s">
        <v>906</v>
      </c>
      <c r="B904" s="4">
        <v>79</v>
      </c>
      <c r="C904" s="3" t="str">
        <f ca="1">IFERROR(ROWSDUMMYFUNCTION(IF(A904="","",IFERROR(IMAGE(CONCATENATE("https://us.pandora.net/on/demandware.static/-/Sites-pandora-master-catalog/default/dwbb259ca6/productimages/singlepackshot/",LEFT(A904,FIND("-",A904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4" s="5" t="str">
        <f ca="1">IFERROR(ROWSDUMMYFUNCTION(IF(A904="","",CONCATENATE("https://us.pandora.net/on/demandware.static/-/Sites-pandora-master-catalog/default/dwbb259ca6/productimages/singlepackshot/",LEFT(A904,FIND("-",A904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5" spans="1:4" x14ac:dyDescent="0.25">
      <c r="A905" s="3" t="s">
        <v>907</v>
      </c>
      <c r="B905" s="4">
        <v>79</v>
      </c>
      <c r="C905" s="3" t="str">
        <f ca="1">IFERROR(ROWSDUMMYFUNCTION(IF(A905="","",IFERROR(IMAGE(CONCATENATE("https://us.pandora.net/on/demandware.static/-/Sites-pandora-master-catalog/default/dwbb259ca6/productimages/singlepackshot/",LEFT(A905,FIND("-",A905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5" s="5" t="str">
        <f ca="1">IFERROR(ROWSDUMMYFUNCTION(IF(A905="","",CONCATENATE("https://us.pandora.net/on/demandware.static/-/Sites-pandora-master-catalog/default/dwbb259ca6/productimages/singlepackshot/",LEFT(A905,FIND("-",A905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6" spans="1:4" x14ac:dyDescent="0.25">
      <c r="A906" s="3" t="s">
        <v>908</v>
      </c>
      <c r="B906" s="4">
        <v>79</v>
      </c>
      <c r="C906" s="3" t="str">
        <f ca="1">IFERROR(ROWSDUMMYFUNCTION(IF(A906="","",IFERROR(IMAGE(CONCATENATE("https://us.pandora.net/on/demandware.static/-/Sites-pandora-master-catalog/default/dwbb259ca6/productimages/singlepackshot/",LEFT(A906,FIND("-",A906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6" s="5" t="str">
        <f ca="1">IFERROR(ROWSDUMMYFUNCTION(IF(A906="","",CONCATENATE("https://us.pandora.net/on/demandware.static/-/Sites-pandora-master-catalog/default/dwbb259ca6/productimages/singlepackshot/",LEFT(A906,FIND("-",A906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7" spans="1:4" x14ac:dyDescent="0.25">
      <c r="A907" s="3" t="s">
        <v>909</v>
      </c>
      <c r="B907" s="4">
        <v>79</v>
      </c>
      <c r="C907" s="3" t="str">
        <f ca="1">IFERROR(ROWSDUMMYFUNCTION(IF(A907="","",IFERROR(IMAGE(CONCATENATE("https://us.pandora.net/on/demandware.static/-/Sites-pandora-master-catalog/default/dwbb259ca6/productimages/singlepackshot/",LEFT(A907,FIND("-",A907&amp;"-")-1),"_RGB.png")),""))),"{""url"":""https://us.pandora.net/on/demandware.static/-/Sites-pandora-master-catalog/default/dwbb259ca6/productimages/singlepackshot/190934CZ_RGB.png"",""mode"":1}")</f>
        <v>{"url":"https://us.pandora.net/on/demandware.static/-/Sites-pandora-master-catalog/default/dwbb259ca6/productimages/singlepackshot/190934CZ_RGB.png","mode":1}</v>
      </c>
      <c r="D907" s="5" t="str">
        <f ca="1">IFERROR(ROWSDUMMYFUNCTION(IF(A907="","",CONCATENATE("https://us.pandora.net/on/demandware.static/-/Sites-pandora-master-catalog/default/dwbb259ca6/productimages/singlepackshot/",LEFT(A907,FIND("-",A907&amp;"-")-1),"_RGB.png"))),"https://us.pandora.net/on/demandware.static/-/Sites-pandora-master-catalog/default/dwbb259ca6/productimages/singlepackshot/190934CZ_RGB.png")</f>
        <v>https://us.pandora.net/on/demandware.static/-/Sites-pandora-master-catalog/default/dwbb259ca6/productimages/singlepackshot/190934CZ_RGB.png</v>
      </c>
    </row>
    <row r="908" spans="1:4" x14ac:dyDescent="0.25">
      <c r="A908" s="3" t="s">
        <v>910</v>
      </c>
      <c r="B908" s="4">
        <v>59</v>
      </c>
      <c r="C908" s="3" t="str">
        <f ca="1">IFERROR(ROWSDUMMYFUNCTION(IF(A908="","",IFERROR(IMAGE(CONCATENATE("https://us.pandora.net/on/demandware.static/-/Sites-pandora-master-catalog/default/dwbb259ca6/productimages/singlepackshot/",LEFT(A908,FIND("-",A908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08" s="5" t="str">
        <f ca="1">IFERROR(ROWSDUMMYFUNCTION(IF(A908="","",CONCATENATE("https://us.pandora.net/on/demandware.static/-/Sites-pandora-master-catalog/default/dwbb259ca6/productimages/singlepackshot/",LEFT(A908,FIND("-",A908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09" spans="1:4" x14ac:dyDescent="0.25">
      <c r="A909" s="3" t="s">
        <v>911</v>
      </c>
      <c r="B909" s="4">
        <v>59</v>
      </c>
      <c r="C909" s="3" t="str">
        <f ca="1">IFERROR(ROWSDUMMYFUNCTION(IF(A909="","",IFERROR(IMAGE(CONCATENATE("https://us.pandora.net/on/demandware.static/-/Sites-pandora-master-catalog/default/dwbb259ca6/productimages/singlepackshot/",LEFT(A909,FIND("-",A909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09" s="5" t="str">
        <f ca="1">IFERROR(ROWSDUMMYFUNCTION(IF(A909="","",CONCATENATE("https://us.pandora.net/on/demandware.static/-/Sites-pandora-master-catalog/default/dwbb259ca6/productimages/singlepackshot/",LEFT(A909,FIND("-",A909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10" spans="1:4" x14ac:dyDescent="0.25">
      <c r="A910" s="3" t="s">
        <v>912</v>
      </c>
      <c r="B910" s="4">
        <v>59</v>
      </c>
      <c r="C910" s="3" t="str">
        <f ca="1">IFERROR(ROWSDUMMYFUNCTION(IF(A910="","",IFERROR(IMAGE(CONCATENATE("https://us.pandora.net/on/demandware.static/-/Sites-pandora-master-catalog/default/dwbb259ca6/productimages/singlepackshot/",LEFT(A910,FIND("-",A910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10" s="5" t="str">
        <f ca="1">IFERROR(ROWSDUMMYFUNCTION(IF(A910="","",CONCATENATE("https://us.pandora.net/on/demandware.static/-/Sites-pandora-master-catalog/default/dwbb259ca6/productimages/singlepackshot/",LEFT(A910,FIND("-",A910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11" spans="1:4" x14ac:dyDescent="0.25">
      <c r="A911" s="3" t="s">
        <v>913</v>
      </c>
      <c r="B911" s="4">
        <v>59</v>
      </c>
      <c r="C911" s="3" t="str">
        <f ca="1">IFERROR(ROWSDUMMYFUNCTION(IF(A911="","",IFERROR(IMAGE(CONCATENATE("https://us.pandora.net/on/demandware.static/-/Sites-pandora-master-catalog/default/dwbb259ca6/productimages/singlepackshot/",LEFT(A911,FIND("-",A911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11" s="5" t="str">
        <f ca="1">IFERROR(ROWSDUMMYFUNCTION(IF(A911="","",CONCATENATE("https://us.pandora.net/on/demandware.static/-/Sites-pandora-master-catalog/default/dwbb259ca6/productimages/singlepackshot/",LEFT(A911,FIND("-",A911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12" spans="1:4" x14ac:dyDescent="0.25">
      <c r="A912" s="3" t="s">
        <v>914</v>
      </c>
      <c r="B912" s="4">
        <v>59</v>
      </c>
      <c r="C912" s="3" t="str">
        <f ca="1">IFERROR(ROWSDUMMYFUNCTION(IF(A912="","",IFERROR(IMAGE(CONCATENATE("https://us.pandora.net/on/demandware.static/-/Sites-pandora-master-catalog/default/dwbb259ca6/productimages/singlepackshot/",LEFT(A912,FIND("-",A912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12" s="5" t="str">
        <f ca="1">IFERROR(ROWSDUMMYFUNCTION(IF(A912="","",CONCATENATE("https://us.pandora.net/on/demandware.static/-/Sites-pandora-master-catalog/default/dwbb259ca6/productimages/singlepackshot/",LEFT(A912,FIND("-",A912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13" spans="1:4" x14ac:dyDescent="0.25">
      <c r="A913" s="3" t="s">
        <v>915</v>
      </c>
      <c r="B913" s="4">
        <v>59</v>
      </c>
      <c r="C913" s="3" t="str">
        <f ca="1">IFERROR(ROWSDUMMYFUNCTION(IF(A913="","",IFERROR(IMAGE(CONCATENATE("https://us.pandora.net/on/demandware.static/-/Sites-pandora-master-catalog/default/dwbb259ca6/productimages/singlepackshot/",LEFT(A913,FIND("-",A913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13" s="5" t="str">
        <f ca="1">IFERROR(ROWSDUMMYFUNCTION(IF(A913="","",CONCATENATE("https://us.pandora.net/on/demandware.static/-/Sites-pandora-master-catalog/default/dwbb259ca6/productimages/singlepackshot/",LEFT(A913,FIND("-",A913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14" spans="1:4" x14ac:dyDescent="0.25">
      <c r="A914" s="3" t="s">
        <v>916</v>
      </c>
      <c r="B914" s="4">
        <v>59</v>
      </c>
      <c r="C914" s="3" t="str">
        <f ca="1">IFERROR(ROWSDUMMYFUNCTION(IF(A914="","",IFERROR(IMAGE(CONCATENATE("https://us.pandora.net/on/demandware.static/-/Sites-pandora-master-catalog/default/dwbb259ca6/productimages/singlepackshot/",LEFT(A914,FIND("-",A914&amp;"-")-1),"_RGB.png")),""))),"{""url"":""https://us.pandora.net/on/demandware.static/-/Sites-pandora-master-catalog/default/dwbb259ca6/productimages/singlepackshot/190945CZ_RGB.png"",""mode"":1}")</f>
        <v>{"url":"https://us.pandora.net/on/demandware.static/-/Sites-pandora-master-catalog/default/dwbb259ca6/productimages/singlepackshot/190945CZ_RGB.png","mode":1}</v>
      </c>
      <c r="D914" s="5" t="str">
        <f ca="1">IFERROR(ROWSDUMMYFUNCTION(IF(A914="","",CONCATENATE("https://us.pandora.net/on/demandware.static/-/Sites-pandora-master-catalog/default/dwbb259ca6/productimages/singlepackshot/",LEFT(A914,FIND("-",A914&amp;"-")-1),"_RGB.png"))),"https://us.pandora.net/on/demandware.static/-/Sites-pandora-master-catalog/default/dwbb259ca6/productimages/singlepackshot/190945CZ_RGB.png")</f>
        <v>https://us.pandora.net/on/demandware.static/-/Sites-pandora-master-catalog/default/dwbb259ca6/productimages/singlepackshot/190945CZ_RGB.png</v>
      </c>
    </row>
    <row r="915" spans="1:4" x14ac:dyDescent="0.25">
      <c r="A915" s="3" t="s">
        <v>917</v>
      </c>
      <c r="B915" s="4">
        <v>69</v>
      </c>
      <c r="C915" s="3" t="str">
        <f ca="1">IFERROR(ROWSDUMMYFUNCTION(IF(A915="","",IFERROR(IMAGE(CONCATENATE("https://us.pandora.net/on/demandware.static/-/Sites-pandora-master-catalog/default/dwbb259ca6/productimages/singlepackshot/",LEFT(A915,FIND("-",A915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15" s="5" t="str">
        <f ca="1">IFERROR(ROWSDUMMYFUNCTION(IF(A915="","",CONCATENATE("https://us.pandora.net/on/demandware.static/-/Sites-pandora-master-catalog/default/dwbb259ca6/productimages/singlepackshot/",LEFT(A915,FIND("-",A915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16" spans="1:4" x14ac:dyDescent="0.25">
      <c r="A916" s="3" t="s">
        <v>918</v>
      </c>
      <c r="B916" s="4">
        <v>69</v>
      </c>
      <c r="C916" s="3" t="str">
        <f ca="1">IFERROR(ROWSDUMMYFUNCTION(IF(A916="","",IFERROR(IMAGE(CONCATENATE("https://us.pandora.net/on/demandware.static/-/Sites-pandora-master-catalog/default/dwbb259ca6/productimages/singlepackshot/",LEFT(A916,FIND("-",A916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16" s="5" t="str">
        <f ca="1">IFERROR(ROWSDUMMYFUNCTION(IF(A916="","",CONCATENATE("https://us.pandora.net/on/demandware.static/-/Sites-pandora-master-catalog/default/dwbb259ca6/productimages/singlepackshot/",LEFT(A916,FIND("-",A916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17" spans="1:4" x14ac:dyDescent="0.25">
      <c r="A917" s="3" t="s">
        <v>919</v>
      </c>
      <c r="B917" s="4">
        <v>69</v>
      </c>
      <c r="C917" s="3" t="str">
        <f ca="1">IFERROR(ROWSDUMMYFUNCTION(IF(A917="","",IFERROR(IMAGE(CONCATENATE("https://us.pandora.net/on/demandware.static/-/Sites-pandora-master-catalog/default/dwbb259ca6/productimages/singlepackshot/",LEFT(A917,FIND("-",A917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17" s="5" t="str">
        <f ca="1">IFERROR(ROWSDUMMYFUNCTION(IF(A917="","",CONCATENATE("https://us.pandora.net/on/demandware.static/-/Sites-pandora-master-catalog/default/dwbb259ca6/productimages/singlepackshot/",LEFT(A917,FIND("-",A917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18" spans="1:4" x14ac:dyDescent="0.25">
      <c r="A918" s="3" t="s">
        <v>920</v>
      </c>
      <c r="B918" s="4">
        <v>69</v>
      </c>
      <c r="C918" s="3" t="str">
        <f ca="1">IFERROR(ROWSDUMMYFUNCTION(IF(A918="","",IFERROR(IMAGE(CONCATENATE("https://us.pandora.net/on/demandware.static/-/Sites-pandora-master-catalog/default/dwbb259ca6/productimages/singlepackshot/",LEFT(A918,FIND("-",A918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18" s="5" t="str">
        <f ca="1">IFERROR(ROWSDUMMYFUNCTION(IF(A918="","",CONCATENATE("https://us.pandora.net/on/demandware.static/-/Sites-pandora-master-catalog/default/dwbb259ca6/productimages/singlepackshot/",LEFT(A918,FIND("-",A918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19" spans="1:4" x14ac:dyDescent="0.25">
      <c r="A919" s="3" t="s">
        <v>921</v>
      </c>
      <c r="B919" s="4">
        <v>69</v>
      </c>
      <c r="C919" s="3" t="str">
        <f ca="1">IFERROR(ROWSDUMMYFUNCTION(IF(A919="","",IFERROR(IMAGE(CONCATENATE("https://us.pandora.net/on/demandware.static/-/Sites-pandora-master-catalog/default/dwbb259ca6/productimages/singlepackshot/",LEFT(A919,FIND("-",A919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19" s="5" t="str">
        <f ca="1">IFERROR(ROWSDUMMYFUNCTION(IF(A919="","",CONCATENATE("https://us.pandora.net/on/demandware.static/-/Sites-pandora-master-catalog/default/dwbb259ca6/productimages/singlepackshot/",LEFT(A919,FIND("-",A919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20" spans="1:4" x14ac:dyDescent="0.25">
      <c r="A920" s="3" t="s">
        <v>922</v>
      </c>
      <c r="B920" s="4">
        <v>69</v>
      </c>
      <c r="C920" s="3" t="str">
        <f ca="1">IFERROR(ROWSDUMMYFUNCTION(IF(A920="","",IFERROR(IMAGE(CONCATENATE("https://us.pandora.net/on/demandware.static/-/Sites-pandora-master-catalog/default/dwbb259ca6/productimages/singlepackshot/",LEFT(A920,FIND("-",A920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20" s="5" t="str">
        <f ca="1">IFERROR(ROWSDUMMYFUNCTION(IF(A920="","",CONCATENATE("https://us.pandora.net/on/demandware.static/-/Sites-pandora-master-catalog/default/dwbb259ca6/productimages/singlepackshot/",LEFT(A920,FIND("-",A920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21" spans="1:4" x14ac:dyDescent="0.25">
      <c r="A921" s="3" t="s">
        <v>923</v>
      </c>
      <c r="B921" s="4">
        <v>69</v>
      </c>
      <c r="C921" s="3" t="str">
        <f ca="1">IFERROR(ROWSDUMMYFUNCTION(IF(A921="","",IFERROR(IMAGE(CONCATENATE("https://us.pandora.net/on/demandware.static/-/Sites-pandora-master-catalog/default/dwbb259ca6/productimages/singlepackshot/",LEFT(A921,FIND("-",A921&amp;"-")-1),"_RGB.png")),""))),"{""url"":""https://us.pandora.net/on/demandware.static/-/Sites-pandora-master-catalog/default/dwbb259ca6/productimages/singlepackshot/190963CZ_RGB.png"",""mode"":1}")</f>
        <v>{"url":"https://us.pandora.net/on/demandware.static/-/Sites-pandora-master-catalog/default/dwbb259ca6/productimages/singlepackshot/190963CZ_RGB.png","mode":1}</v>
      </c>
      <c r="D921" s="5" t="str">
        <f ca="1">IFERROR(ROWSDUMMYFUNCTION(IF(A921="","",CONCATENATE("https://us.pandora.net/on/demandware.static/-/Sites-pandora-master-catalog/default/dwbb259ca6/productimages/singlepackshot/",LEFT(A921,FIND("-",A921&amp;"-")-1),"_RGB.png"))),"https://us.pandora.net/on/demandware.static/-/Sites-pandora-master-catalog/default/dwbb259ca6/productimages/singlepackshot/190963CZ_RGB.png")</f>
        <v>https://us.pandora.net/on/demandware.static/-/Sites-pandora-master-catalog/default/dwbb259ca6/productimages/singlepackshot/190963CZ_RGB.png</v>
      </c>
    </row>
    <row r="922" spans="1:4" x14ac:dyDescent="0.25">
      <c r="A922" s="3" t="s">
        <v>924</v>
      </c>
      <c r="B922" s="4">
        <v>35</v>
      </c>
      <c r="C922" s="3" t="str">
        <f ca="1">IFERROR(ROWSDUMMYFUNCTION(IF(A922="","",IFERROR(IMAGE(CONCATENATE("https://us.pandora.net/on/demandware.static/-/Sites-pandora-master-catalog/default/dwbb259ca6/productimages/singlepackshot/",LEFT(A922,FIND("-",A922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2" s="5" t="str">
        <f ca="1">IFERROR(ROWSDUMMYFUNCTION(IF(A922="","",CONCATENATE("https://us.pandora.net/on/demandware.static/-/Sites-pandora-master-catalog/default/dwbb259ca6/productimages/singlepackshot/",LEFT(A922,FIND("-",A922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3" spans="1:4" x14ac:dyDescent="0.25">
      <c r="A923" s="3" t="s">
        <v>925</v>
      </c>
      <c r="B923" s="4">
        <v>35</v>
      </c>
      <c r="C923" s="3" t="str">
        <f ca="1">IFERROR(ROWSDUMMYFUNCTION(IF(A923="","",IFERROR(IMAGE(CONCATENATE("https://us.pandora.net/on/demandware.static/-/Sites-pandora-master-catalog/default/dwbb259ca6/productimages/singlepackshot/",LEFT(A923,FIND("-",A923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3" s="5" t="str">
        <f ca="1">IFERROR(ROWSDUMMYFUNCTION(IF(A923="","",CONCATENATE("https://us.pandora.net/on/demandware.static/-/Sites-pandora-master-catalog/default/dwbb259ca6/productimages/singlepackshot/",LEFT(A923,FIND("-",A923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4" spans="1:4" x14ac:dyDescent="0.25">
      <c r="A924" s="3" t="s">
        <v>926</v>
      </c>
      <c r="B924" s="4">
        <v>35</v>
      </c>
      <c r="C924" s="3" t="str">
        <f ca="1">IFERROR(ROWSDUMMYFUNCTION(IF(A924="","",IFERROR(IMAGE(CONCATENATE("https://us.pandora.net/on/demandware.static/-/Sites-pandora-master-catalog/default/dwbb259ca6/productimages/singlepackshot/",LEFT(A924,FIND("-",A924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4" s="5" t="str">
        <f ca="1">IFERROR(ROWSDUMMYFUNCTION(IF(A924="","",CONCATENATE("https://us.pandora.net/on/demandware.static/-/Sites-pandora-master-catalog/default/dwbb259ca6/productimages/singlepackshot/",LEFT(A924,FIND("-",A924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5" spans="1:4" x14ac:dyDescent="0.25">
      <c r="A925" s="3" t="s">
        <v>927</v>
      </c>
      <c r="B925" s="4">
        <v>35</v>
      </c>
      <c r="C925" s="3" t="str">
        <f ca="1">IFERROR(ROWSDUMMYFUNCTION(IF(A925="","",IFERROR(IMAGE(CONCATENATE("https://us.pandora.net/on/demandware.static/-/Sites-pandora-master-catalog/default/dwbb259ca6/productimages/singlepackshot/",LEFT(A925,FIND("-",A925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5" s="5" t="str">
        <f ca="1">IFERROR(ROWSDUMMYFUNCTION(IF(A925="","",CONCATENATE("https://us.pandora.net/on/demandware.static/-/Sites-pandora-master-catalog/default/dwbb259ca6/productimages/singlepackshot/",LEFT(A925,FIND("-",A925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6" spans="1:4" x14ac:dyDescent="0.25">
      <c r="A926" s="3" t="s">
        <v>928</v>
      </c>
      <c r="B926" s="4">
        <v>35</v>
      </c>
      <c r="C926" s="3" t="str">
        <f ca="1">IFERROR(ROWSDUMMYFUNCTION(IF(A926="","",IFERROR(IMAGE(CONCATENATE("https://us.pandora.net/on/demandware.static/-/Sites-pandora-master-catalog/default/dwbb259ca6/productimages/singlepackshot/",LEFT(A926,FIND("-",A926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6" s="5" t="str">
        <f ca="1">IFERROR(ROWSDUMMYFUNCTION(IF(A926="","",CONCATENATE("https://us.pandora.net/on/demandware.static/-/Sites-pandora-master-catalog/default/dwbb259ca6/productimages/singlepackshot/",LEFT(A926,FIND("-",A926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7" spans="1:4" x14ac:dyDescent="0.25">
      <c r="A927" s="3" t="s">
        <v>929</v>
      </c>
      <c r="B927" s="4">
        <v>35</v>
      </c>
      <c r="C927" s="3" t="str">
        <f ca="1">IFERROR(ROWSDUMMYFUNCTION(IF(A927="","",IFERROR(IMAGE(CONCATENATE("https://us.pandora.net/on/demandware.static/-/Sites-pandora-master-catalog/default/dwbb259ca6/productimages/singlepackshot/",LEFT(A927,FIND("-",A927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7" s="5" t="str">
        <f ca="1">IFERROR(ROWSDUMMYFUNCTION(IF(A927="","",CONCATENATE("https://us.pandora.net/on/demandware.static/-/Sites-pandora-master-catalog/default/dwbb259ca6/productimages/singlepackshot/",LEFT(A927,FIND("-",A927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8" spans="1:4" x14ac:dyDescent="0.25">
      <c r="A928" s="3" t="s">
        <v>930</v>
      </c>
      <c r="B928" s="4">
        <v>35</v>
      </c>
      <c r="C928" s="3" t="str">
        <f ca="1">IFERROR(ROWSDUMMYFUNCTION(IF(A928="","",IFERROR(IMAGE(CONCATENATE("https://us.pandora.net/on/demandware.static/-/Sites-pandora-master-catalog/default/dwbb259ca6/productimages/singlepackshot/",LEFT(A928,FIND("-",A928&amp;"-")-1),"_RGB.png")),""))),"{""url"":""https://us.pandora.net/on/demandware.static/-/Sites-pandora-master-catalog/default/dwbb259ca6/productimages/singlepackshot/190980_RGB.png"",""mode"":1}")</f>
        <v>{"url":"https://us.pandora.net/on/demandware.static/-/Sites-pandora-master-catalog/default/dwbb259ca6/productimages/singlepackshot/190980_RGB.png","mode":1}</v>
      </c>
      <c r="D928" s="5" t="str">
        <f ca="1">IFERROR(ROWSDUMMYFUNCTION(IF(A928="","",CONCATENATE("https://us.pandora.net/on/demandware.static/-/Sites-pandora-master-catalog/default/dwbb259ca6/productimages/singlepackshot/",LEFT(A928,FIND("-",A928&amp;"-")-1),"_RGB.png"))),"https://us.pandora.net/on/demandware.static/-/Sites-pandora-master-catalog/default/dwbb259ca6/productimages/singlepackshot/190980_RGB.png")</f>
        <v>https://us.pandora.net/on/demandware.static/-/Sites-pandora-master-catalog/default/dwbb259ca6/productimages/singlepackshot/190980_RGB.png</v>
      </c>
    </row>
    <row r="929" spans="1:4" x14ac:dyDescent="0.25">
      <c r="A929" s="3" t="s">
        <v>931</v>
      </c>
      <c r="B929" s="4">
        <v>69</v>
      </c>
      <c r="C929" s="3" t="str">
        <f ca="1">IFERROR(ROWSDUMMYFUNCTION(IF(A929="","",IFERROR(IMAGE(CONCATENATE("https://us.pandora.net/on/demandware.static/-/Sites-pandora-master-catalog/default/dwbb259ca6/productimages/singlepackshot/",LEFT(A929,FIND("-",A929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29" s="5" t="str">
        <f ca="1">IFERROR(ROWSDUMMYFUNCTION(IF(A929="","",CONCATENATE("https://us.pandora.net/on/demandware.static/-/Sites-pandora-master-catalog/default/dwbb259ca6/productimages/singlepackshot/",LEFT(A929,FIND("-",A929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0" spans="1:4" x14ac:dyDescent="0.25">
      <c r="A930" s="3" t="s">
        <v>932</v>
      </c>
      <c r="B930" s="4">
        <v>69</v>
      </c>
      <c r="C930" s="3" t="str">
        <f ca="1">IFERROR(ROWSDUMMYFUNCTION(IF(A930="","",IFERROR(IMAGE(CONCATENATE("https://us.pandora.net/on/demandware.static/-/Sites-pandora-master-catalog/default/dwbb259ca6/productimages/singlepackshot/",LEFT(A930,FIND("-",A930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30" s="5" t="str">
        <f ca="1">IFERROR(ROWSDUMMYFUNCTION(IF(A930="","",CONCATENATE("https://us.pandora.net/on/demandware.static/-/Sites-pandora-master-catalog/default/dwbb259ca6/productimages/singlepackshot/",LEFT(A930,FIND("-",A930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1" spans="1:4" x14ac:dyDescent="0.25">
      <c r="A931" s="3" t="s">
        <v>933</v>
      </c>
      <c r="B931" s="4">
        <v>69</v>
      </c>
      <c r="C931" s="3" t="str">
        <f ca="1">IFERROR(ROWSDUMMYFUNCTION(IF(A931="","",IFERROR(IMAGE(CONCATENATE("https://us.pandora.net/on/demandware.static/-/Sites-pandora-master-catalog/default/dwbb259ca6/productimages/singlepackshot/",LEFT(A931,FIND("-",A931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31" s="5" t="str">
        <f ca="1">IFERROR(ROWSDUMMYFUNCTION(IF(A931="","",CONCATENATE("https://us.pandora.net/on/demandware.static/-/Sites-pandora-master-catalog/default/dwbb259ca6/productimages/singlepackshot/",LEFT(A931,FIND("-",A931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2" spans="1:4" x14ac:dyDescent="0.25">
      <c r="A932" s="3" t="s">
        <v>934</v>
      </c>
      <c r="B932" s="4">
        <v>69</v>
      </c>
      <c r="C932" s="3" t="str">
        <f ca="1">IFERROR(ROWSDUMMYFUNCTION(IF(A932="","",IFERROR(IMAGE(CONCATENATE("https://us.pandora.net/on/demandware.static/-/Sites-pandora-master-catalog/default/dwbb259ca6/productimages/singlepackshot/",LEFT(A932,FIND("-",A932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32" s="5" t="str">
        <f ca="1">IFERROR(ROWSDUMMYFUNCTION(IF(A932="","",CONCATENATE("https://us.pandora.net/on/demandware.static/-/Sites-pandora-master-catalog/default/dwbb259ca6/productimages/singlepackshot/",LEFT(A932,FIND("-",A932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3" spans="1:4" x14ac:dyDescent="0.25">
      <c r="A933" s="3" t="s">
        <v>935</v>
      </c>
      <c r="B933" s="4">
        <v>69</v>
      </c>
      <c r="C933" s="3" t="str">
        <f ca="1">IFERROR(ROWSDUMMYFUNCTION(IF(A933="","",IFERROR(IMAGE(CONCATENATE("https://us.pandora.net/on/demandware.static/-/Sites-pandora-master-catalog/default/dwbb259ca6/productimages/singlepackshot/",LEFT(A933,FIND("-",A933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33" s="5" t="str">
        <f ca="1">IFERROR(ROWSDUMMYFUNCTION(IF(A933="","",CONCATENATE("https://us.pandora.net/on/demandware.static/-/Sites-pandora-master-catalog/default/dwbb259ca6/productimages/singlepackshot/",LEFT(A933,FIND("-",A933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4" spans="1:4" x14ac:dyDescent="0.25">
      <c r="A934" s="3" t="s">
        <v>936</v>
      </c>
      <c r="B934" s="4">
        <v>69</v>
      </c>
      <c r="C934" s="3" t="str">
        <f ca="1">IFERROR(ROWSDUMMYFUNCTION(IF(A934="","",IFERROR(IMAGE(CONCATENATE("https://us.pandora.net/on/demandware.static/-/Sites-pandora-master-catalog/default/dwbb259ca6/productimages/singlepackshot/",LEFT(A934,FIND("-",A934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34" s="5" t="str">
        <f ca="1">IFERROR(ROWSDUMMYFUNCTION(IF(A934="","",CONCATENATE("https://us.pandora.net/on/demandware.static/-/Sites-pandora-master-catalog/default/dwbb259ca6/productimages/singlepackshot/",LEFT(A934,FIND("-",A934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5" spans="1:4" x14ac:dyDescent="0.25">
      <c r="A935" s="3" t="s">
        <v>937</v>
      </c>
      <c r="B935" s="4">
        <v>69</v>
      </c>
      <c r="C935" s="3" t="str">
        <f ca="1">IFERROR(ROWSDUMMYFUNCTION(IF(A935="","",IFERROR(IMAGE(CONCATENATE("https://us.pandora.net/on/demandware.static/-/Sites-pandora-master-catalog/default/dwbb259ca6/productimages/singlepackshot/",LEFT(A935,FIND("-",A935&amp;"-")-1),"_RGB.png")),""))),"{""url"":""https://us.pandora.net/on/demandware.static/-/Sites-pandora-master-catalog/default/dwbb259ca6/productimages/singlepackshot/191023CZ_RGB.png"",""mode"":1}")</f>
        <v>{"url":"https://us.pandora.net/on/demandware.static/-/Sites-pandora-master-catalog/default/dwbb259ca6/productimages/singlepackshot/191023CZ_RGB.png","mode":1}</v>
      </c>
      <c r="D935" s="5" t="str">
        <f ca="1">IFERROR(ROWSDUMMYFUNCTION(IF(A935="","",CONCATENATE("https://us.pandora.net/on/demandware.static/-/Sites-pandora-master-catalog/default/dwbb259ca6/productimages/singlepackshot/",LEFT(A935,FIND("-",A935&amp;"-")-1),"_RGB.png"))),"https://us.pandora.net/on/demandware.static/-/Sites-pandora-master-catalog/default/dwbb259ca6/productimages/singlepackshot/191023CZ_RGB.png")</f>
        <v>https://us.pandora.net/on/demandware.static/-/Sites-pandora-master-catalog/default/dwbb259ca6/productimages/singlepackshot/191023CZ_RGB.png</v>
      </c>
    </row>
    <row r="936" spans="1:4" x14ac:dyDescent="0.25">
      <c r="A936" s="3" t="s">
        <v>938</v>
      </c>
      <c r="B936" s="4">
        <v>49</v>
      </c>
      <c r="C936" s="3" t="str">
        <f ca="1">IFERROR(ROWSDUMMYFUNCTION(IF(A936="","",IFERROR(IMAGE(CONCATENATE("https://us.pandora.net/on/demandware.static/-/Sites-pandora-master-catalog/default/dwbb259ca6/productimages/singlepackshot/",LEFT(A936,FIND("-",A936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36" s="5" t="str">
        <f ca="1">IFERROR(ROWSDUMMYFUNCTION(IF(A936="","",CONCATENATE("https://us.pandora.net/on/demandware.static/-/Sites-pandora-master-catalog/default/dwbb259ca6/productimages/singlepackshot/",LEFT(A936,FIND("-",A936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37" spans="1:4" x14ac:dyDescent="0.25">
      <c r="A937" s="3" t="s">
        <v>939</v>
      </c>
      <c r="B937" s="4">
        <v>49</v>
      </c>
      <c r="C937" s="3" t="str">
        <f ca="1">IFERROR(ROWSDUMMYFUNCTION(IF(A937="","",IFERROR(IMAGE(CONCATENATE("https://us.pandora.net/on/demandware.static/-/Sites-pandora-master-catalog/default/dwbb259ca6/productimages/singlepackshot/",LEFT(A937,FIND("-",A937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37" s="5" t="str">
        <f ca="1">IFERROR(ROWSDUMMYFUNCTION(IF(A937="","",CONCATENATE("https://us.pandora.net/on/demandware.static/-/Sites-pandora-master-catalog/default/dwbb259ca6/productimages/singlepackshot/",LEFT(A937,FIND("-",A937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38" spans="1:4" x14ac:dyDescent="0.25">
      <c r="A938" s="3" t="s">
        <v>940</v>
      </c>
      <c r="B938" s="4">
        <v>49</v>
      </c>
      <c r="C938" s="3" t="str">
        <f ca="1">IFERROR(ROWSDUMMYFUNCTION(IF(A938="","",IFERROR(IMAGE(CONCATENATE("https://us.pandora.net/on/demandware.static/-/Sites-pandora-master-catalog/default/dwbb259ca6/productimages/singlepackshot/",LEFT(A938,FIND("-",A938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38" s="5" t="str">
        <f ca="1">IFERROR(ROWSDUMMYFUNCTION(IF(A938="","",CONCATENATE("https://us.pandora.net/on/demandware.static/-/Sites-pandora-master-catalog/default/dwbb259ca6/productimages/singlepackshot/",LEFT(A938,FIND("-",A938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39" spans="1:4" x14ac:dyDescent="0.25">
      <c r="A939" s="3" t="s">
        <v>941</v>
      </c>
      <c r="B939" s="4">
        <v>49</v>
      </c>
      <c r="C939" s="3" t="str">
        <f ca="1">IFERROR(ROWSDUMMYFUNCTION(IF(A939="","",IFERROR(IMAGE(CONCATENATE("https://us.pandora.net/on/demandware.static/-/Sites-pandora-master-catalog/default/dwbb259ca6/productimages/singlepackshot/",LEFT(A939,FIND("-",A939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39" s="5" t="str">
        <f ca="1">IFERROR(ROWSDUMMYFUNCTION(IF(A939="","",CONCATENATE("https://us.pandora.net/on/demandware.static/-/Sites-pandora-master-catalog/default/dwbb259ca6/productimages/singlepackshot/",LEFT(A939,FIND("-",A939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40" spans="1:4" x14ac:dyDescent="0.25">
      <c r="A940" s="3" t="s">
        <v>942</v>
      </c>
      <c r="B940" s="4">
        <v>49</v>
      </c>
      <c r="C940" s="3" t="str">
        <f ca="1">IFERROR(ROWSDUMMYFUNCTION(IF(A940="","",IFERROR(IMAGE(CONCATENATE("https://us.pandora.net/on/demandware.static/-/Sites-pandora-master-catalog/default/dwbb259ca6/productimages/singlepackshot/",LEFT(A940,FIND("-",A940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40" s="5" t="str">
        <f ca="1">IFERROR(ROWSDUMMYFUNCTION(IF(A940="","",CONCATENATE("https://us.pandora.net/on/demandware.static/-/Sites-pandora-master-catalog/default/dwbb259ca6/productimages/singlepackshot/",LEFT(A940,FIND("-",A940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41" spans="1:4" x14ac:dyDescent="0.25">
      <c r="A941" s="3" t="s">
        <v>943</v>
      </c>
      <c r="B941" s="4">
        <v>49</v>
      </c>
      <c r="C941" s="3" t="str">
        <f ca="1">IFERROR(ROWSDUMMYFUNCTION(IF(A941="","",IFERROR(IMAGE(CONCATENATE("https://us.pandora.net/on/demandware.static/-/Sites-pandora-master-catalog/default/dwbb259ca6/productimages/singlepackshot/",LEFT(A941,FIND("-",A941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41" s="5" t="str">
        <f ca="1">IFERROR(ROWSDUMMYFUNCTION(IF(A941="","",CONCATENATE("https://us.pandora.net/on/demandware.static/-/Sites-pandora-master-catalog/default/dwbb259ca6/productimages/singlepackshot/",LEFT(A941,FIND("-",A941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42" spans="1:4" x14ac:dyDescent="0.25">
      <c r="A942" s="3" t="s">
        <v>944</v>
      </c>
      <c r="B942" s="4">
        <v>49</v>
      </c>
      <c r="C942" s="3" t="str">
        <f ca="1">IFERROR(ROWSDUMMYFUNCTION(IF(A942="","",IFERROR(IMAGE(CONCATENATE("https://us.pandora.net/on/demandware.static/-/Sites-pandora-master-catalog/default/dwbb259ca6/productimages/singlepackshot/",LEFT(A942,FIND("-",A942&amp;"-")-1),"_RGB.png")),""))),"{""url"":""https://us.pandora.net/on/demandware.static/-/Sites-pandora-master-catalog/default/dwbb259ca6/productimages/singlepackshot/191149C01_RGB.png"",""mode"":1}")</f>
        <v>{"url":"https://us.pandora.net/on/demandware.static/-/Sites-pandora-master-catalog/default/dwbb259ca6/productimages/singlepackshot/191149C01_RGB.png","mode":1}</v>
      </c>
      <c r="D942" s="5" t="str">
        <f ca="1">IFERROR(ROWSDUMMYFUNCTION(IF(A942="","",CONCATENATE("https://us.pandora.net/on/demandware.static/-/Sites-pandora-master-catalog/default/dwbb259ca6/productimages/singlepackshot/",LEFT(A942,FIND("-",A942&amp;"-")-1),"_RGB.png"))),"https://us.pandora.net/on/demandware.static/-/Sites-pandora-master-catalog/default/dwbb259ca6/productimages/singlepackshot/191149C01_RGB.png")</f>
        <v>https://us.pandora.net/on/demandware.static/-/Sites-pandora-master-catalog/default/dwbb259ca6/productimages/singlepackshot/191149C01_RGB.png</v>
      </c>
    </row>
    <row r="943" spans="1:4" x14ac:dyDescent="0.25">
      <c r="A943" s="3" t="s">
        <v>945</v>
      </c>
      <c r="B943" s="4">
        <v>69</v>
      </c>
      <c r="C943" s="3" t="str">
        <f ca="1">IFERROR(ROWSDUMMYFUNCTION(IF(A943="","",IFERROR(IMAGE(CONCATENATE("https://us.pandora.net/on/demandware.static/-/Sites-pandora-master-catalog/default/dwbb259ca6/productimages/singlepackshot/",LEFT(A943,FIND("-",A943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3" s="5" t="str">
        <f ca="1">IFERROR(ROWSDUMMYFUNCTION(IF(A943="","",CONCATENATE("https://us.pandora.net/on/demandware.static/-/Sites-pandora-master-catalog/default/dwbb259ca6/productimages/singlepackshot/",LEFT(A943,FIND("-",A943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44" spans="1:4" x14ac:dyDescent="0.25">
      <c r="A944" s="3" t="s">
        <v>946</v>
      </c>
      <c r="B944" s="4">
        <v>69</v>
      </c>
      <c r="C944" s="3" t="str">
        <f ca="1">IFERROR(ROWSDUMMYFUNCTION(IF(A944="","",IFERROR(IMAGE(CONCATENATE("https://us.pandora.net/on/demandware.static/-/Sites-pandora-master-catalog/default/dwbb259ca6/productimages/singlepackshot/",LEFT(A944,FIND("-",A944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4" s="5" t="str">
        <f ca="1">IFERROR(ROWSDUMMYFUNCTION(IF(A944="","",CONCATENATE("https://us.pandora.net/on/demandware.static/-/Sites-pandora-master-catalog/default/dwbb259ca6/productimages/singlepackshot/",LEFT(A944,FIND("-",A944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45" spans="1:4" x14ac:dyDescent="0.25">
      <c r="A945" s="3" t="s">
        <v>947</v>
      </c>
      <c r="B945" s="4">
        <v>69</v>
      </c>
      <c r="C945" s="3" t="str">
        <f ca="1">IFERROR(ROWSDUMMYFUNCTION(IF(A945="","",IFERROR(IMAGE(CONCATENATE("https://us.pandora.net/on/demandware.static/-/Sites-pandora-master-catalog/default/dwbb259ca6/productimages/singlepackshot/",LEFT(A945,FIND("-",A945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5" s="5" t="str">
        <f ca="1">IFERROR(ROWSDUMMYFUNCTION(IF(A945="","",CONCATENATE("https://us.pandora.net/on/demandware.static/-/Sites-pandora-master-catalog/default/dwbb259ca6/productimages/singlepackshot/",LEFT(A945,FIND("-",A945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46" spans="1:4" x14ac:dyDescent="0.25">
      <c r="A946" s="3" t="s">
        <v>948</v>
      </c>
      <c r="B946" s="4">
        <v>69</v>
      </c>
      <c r="C946" s="3" t="str">
        <f ca="1">IFERROR(ROWSDUMMYFUNCTION(IF(A946="","",IFERROR(IMAGE(CONCATENATE("https://us.pandora.net/on/demandware.static/-/Sites-pandora-master-catalog/default/dwbb259ca6/productimages/singlepackshot/",LEFT(A946,FIND("-",A946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6" s="5" t="str">
        <f ca="1">IFERROR(ROWSDUMMYFUNCTION(IF(A946="","",CONCATENATE("https://us.pandora.net/on/demandware.static/-/Sites-pandora-master-catalog/default/dwbb259ca6/productimages/singlepackshot/",LEFT(A946,FIND("-",A946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47" spans="1:4" x14ac:dyDescent="0.25">
      <c r="A947" s="3" t="s">
        <v>949</v>
      </c>
      <c r="B947" s="4">
        <v>69</v>
      </c>
      <c r="C947" s="3" t="str">
        <f ca="1">IFERROR(ROWSDUMMYFUNCTION(IF(A947="","",IFERROR(IMAGE(CONCATENATE("https://us.pandora.net/on/demandware.static/-/Sites-pandora-master-catalog/default/dwbb259ca6/productimages/singlepackshot/",LEFT(A947,FIND("-",A947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7" s="5" t="str">
        <f ca="1">IFERROR(ROWSDUMMYFUNCTION(IF(A947="","",CONCATENATE("https://us.pandora.net/on/demandware.static/-/Sites-pandora-master-catalog/default/dwbb259ca6/productimages/singlepackshot/",LEFT(A947,FIND("-",A947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48" spans="1:4" x14ac:dyDescent="0.25">
      <c r="A948" s="3" t="s">
        <v>950</v>
      </c>
      <c r="B948" s="4">
        <v>69</v>
      </c>
      <c r="C948" s="3" t="str">
        <f ca="1">IFERROR(ROWSDUMMYFUNCTION(IF(A948="","",IFERROR(IMAGE(CONCATENATE("https://us.pandora.net/on/demandware.static/-/Sites-pandora-master-catalog/default/dwbb259ca6/productimages/singlepackshot/",LEFT(A948,FIND("-",A948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8" s="5" t="str">
        <f ca="1">IFERROR(ROWSDUMMYFUNCTION(IF(A948="","",CONCATENATE("https://us.pandora.net/on/demandware.static/-/Sites-pandora-master-catalog/default/dwbb259ca6/productimages/singlepackshot/",LEFT(A948,FIND("-",A948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49" spans="1:4" x14ac:dyDescent="0.25">
      <c r="A949" s="3" t="s">
        <v>951</v>
      </c>
      <c r="B949" s="4">
        <v>69</v>
      </c>
      <c r="C949" s="3" t="str">
        <f ca="1">IFERROR(ROWSDUMMYFUNCTION(IF(A949="","",IFERROR(IMAGE(CONCATENATE("https://us.pandora.net/on/demandware.static/-/Sites-pandora-master-catalog/default/dwbb259ca6/productimages/singlepackshot/",LEFT(A949,FIND("-",A949&amp;"-")-1),"_RGB.png")),""))),"{""url"":""https://us.pandora.net/on/demandware.static/-/Sites-pandora-master-catalog/default/dwbb259ca6/productimages/singlepackshot/191165C01_RGB.png"",""mode"":1}")</f>
        <v>{"url":"https://us.pandora.net/on/demandware.static/-/Sites-pandora-master-catalog/default/dwbb259ca6/productimages/singlepackshot/191165C01_RGB.png","mode":1}</v>
      </c>
      <c r="D949" s="5" t="str">
        <f ca="1">IFERROR(ROWSDUMMYFUNCTION(IF(A949="","",CONCATENATE("https://us.pandora.net/on/demandware.static/-/Sites-pandora-master-catalog/default/dwbb259ca6/productimages/singlepackshot/",LEFT(A949,FIND("-",A949&amp;"-")-1),"_RGB.png"))),"https://us.pandora.net/on/demandware.static/-/Sites-pandora-master-catalog/default/dwbb259ca6/productimages/singlepackshot/191165C01_RGB.png")</f>
        <v>https://us.pandora.net/on/demandware.static/-/Sites-pandora-master-catalog/default/dwbb259ca6/productimages/singlepackshot/191165C01_RGB.png</v>
      </c>
    </row>
    <row r="950" spans="1:4" x14ac:dyDescent="0.25">
      <c r="A950" s="3" t="s">
        <v>952</v>
      </c>
      <c r="B950" s="4">
        <v>89</v>
      </c>
      <c r="C950" s="3" t="str">
        <f ca="1">IFERROR(ROWSDUMMYFUNCTION(IF(A950="","",IFERROR(IMAGE(CONCATENATE("https://us.pandora.net/on/demandware.static/-/Sites-pandora-master-catalog/default/dwbb259ca6/productimages/singlepackshot/",LEFT(A950,FIND("-",A950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0" s="5" t="str">
        <f ca="1">IFERROR(ROWSDUMMYFUNCTION(IF(A950="","",CONCATENATE("https://us.pandora.net/on/demandware.static/-/Sites-pandora-master-catalog/default/dwbb259ca6/productimages/singlepackshot/",LEFT(A950,FIND("-",A950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1" spans="1:4" x14ac:dyDescent="0.25">
      <c r="A951" s="3" t="s">
        <v>953</v>
      </c>
      <c r="B951" s="4">
        <v>89</v>
      </c>
      <c r="C951" s="3" t="str">
        <f ca="1">IFERROR(ROWSDUMMYFUNCTION(IF(A951="","",IFERROR(IMAGE(CONCATENATE("https://us.pandora.net/on/demandware.static/-/Sites-pandora-master-catalog/default/dwbb259ca6/productimages/singlepackshot/",LEFT(A951,FIND("-",A951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1" s="5" t="str">
        <f ca="1">IFERROR(ROWSDUMMYFUNCTION(IF(A951="","",CONCATENATE("https://us.pandora.net/on/demandware.static/-/Sites-pandora-master-catalog/default/dwbb259ca6/productimages/singlepackshot/",LEFT(A951,FIND("-",A951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2" spans="1:4" x14ac:dyDescent="0.25">
      <c r="A952" s="3" t="s">
        <v>954</v>
      </c>
      <c r="B952" s="4">
        <v>89</v>
      </c>
      <c r="C952" s="3" t="str">
        <f ca="1">IFERROR(ROWSDUMMYFUNCTION(IF(A952="","",IFERROR(IMAGE(CONCATENATE("https://us.pandora.net/on/demandware.static/-/Sites-pandora-master-catalog/default/dwbb259ca6/productimages/singlepackshot/",LEFT(A952,FIND("-",A952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2" s="5" t="str">
        <f ca="1">IFERROR(ROWSDUMMYFUNCTION(IF(A952="","",CONCATENATE("https://us.pandora.net/on/demandware.static/-/Sites-pandora-master-catalog/default/dwbb259ca6/productimages/singlepackshot/",LEFT(A952,FIND("-",A952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3" spans="1:4" x14ac:dyDescent="0.25">
      <c r="A953" s="3" t="s">
        <v>955</v>
      </c>
      <c r="B953" s="4">
        <v>89</v>
      </c>
      <c r="C953" s="3" t="str">
        <f ca="1">IFERROR(ROWSDUMMYFUNCTION(IF(A953="","",IFERROR(IMAGE(CONCATENATE("https://us.pandora.net/on/demandware.static/-/Sites-pandora-master-catalog/default/dwbb259ca6/productimages/singlepackshot/",LEFT(A953,FIND("-",A953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3" s="5" t="str">
        <f ca="1">IFERROR(ROWSDUMMYFUNCTION(IF(A953="","",CONCATENATE("https://us.pandora.net/on/demandware.static/-/Sites-pandora-master-catalog/default/dwbb259ca6/productimages/singlepackshot/",LEFT(A953,FIND("-",A953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4" spans="1:4" x14ac:dyDescent="0.25">
      <c r="A954" s="3" t="s">
        <v>956</v>
      </c>
      <c r="B954" s="4">
        <v>89</v>
      </c>
      <c r="C954" s="3" t="str">
        <f ca="1">IFERROR(ROWSDUMMYFUNCTION(IF(A954="","",IFERROR(IMAGE(CONCATENATE("https://us.pandora.net/on/demandware.static/-/Sites-pandora-master-catalog/default/dwbb259ca6/productimages/singlepackshot/",LEFT(A954,FIND("-",A954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4" s="5" t="str">
        <f ca="1">IFERROR(ROWSDUMMYFUNCTION(IF(A954="","",CONCATENATE("https://us.pandora.net/on/demandware.static/-/Sites-pandora-master-catalog/default/dwbb259ca6/productimages/singlepackshot/",LEFT(A954,FIND("-",A954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5" spans="1:4" x14ac:dyDescent="0.25">
      <c r="A955" s="3" t="s">
        <v>957</v>
      </c>
      <c r="B955" s="4">
        <v>89</v>
      </c>
      <c r="C955" s="3" t="str">
        <f ca="1">IFERROR(ROWSDUMMYFUNCTION(IF(A955="","",IFERROR(IMAGE(CONCATENATE("https://us.pandora.net/on/demandware.static/-/Sites-pandora-master-catalog/default/dwbb259ca6/productimages/singlepackshot/",LEFT(A955,FIND("-",A955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5" s="5" t="str">
        <f ca="1">IFERROR(ROWSDUMMYFUNCTION(IF(A955="","",CONCATENATE("https://us.pandora.net/on/demandware.static/-/Sites-pandora-master-catalog/default/dwbb259ca6/productimages/singlepackshot/",LEFT(A955,FIND("-",A955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6" spans="1:4" x14ac:dyDescent="0.25">
      <c r="A956" s="3" t="s">
        <v>958</v>
      </c>
      <c r="B956" s="4">
        <v>89</v>
      </c>
      <c r="C956" s="3" t="str">
        <f ca="1">IFERROR(ROWSDUMMYFUNCTION(IF(A956="","",IFERROR(IMAGE(CONCATENATE("https://us.pandora.net/on/demandware.static/-/Sites-pandora-master-catalog/default/dwbb259ca6/productimages/singlepackshot/",LEFT(A956,FIND("-",A956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6" s="5" t="str">
        <f ca="1">IFERROR(ROWSDUMMYFUNCTION(IF(A956="","",CONCATENATE("https://us.pandora.net/on/demandware.static/-/Sites-pandora-master-catalog/default/dwbb259ca6/productimages/singlepackshot/",LEFT(A956,FIND("-",A956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7" spans="1:4" x14ac:dyDescent="0.25">
      <c r="A957" s="3" t="s">
        <v>959</v>
      </c>
      <c r="B957" s="4">
        <v>89</v>
      </c>
      <c r="C957" s="3" t="str">
        <f ca="1">IFERROR(ROWSDUMMYFUNCTION(IF(A957="","",IFERROR(IMAGE(CONCATENATE("https://us.pandora.net/on/demandware.static/-/Sites-pandora-master-catalog/default/dwbb259ca6/productimages/singlepackshot/",LEFT(A957,FIND("-",A957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7" s="5" t="str">
        <f ca="1">IFERROR(ROWSDUMMYFUNCTION(IF(A957="","",CONCATENATE("https://us.pandora.net/on/demandware.static/-/Sites-pandora-master-catalog/default/dwbb259ca6/productimages/singlepackshot/",LEFT(A957,FIND("-",A957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8" spans="1:4" x14ac:dyDescent="0.25">
      <c r="A958" s="3" t="s">
        <v>960</v>
      </c>
      <c r="B958" s="4">
        <v>89</v>
      </c>
      <c r="C958" s="3" t="str">
        <f ca="1">IFERROR(ROWSDUMMYFUNCTION(IF(A958="","",IFERROR(IMAGE(CONCATENATE("https://us.pandora.net/on/demandware.static/-/Sites-pandora-master-catalog/default/dwbb259ca6/productimages/singlepackshot/",LEFT(A958,FIND("-",A958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8" s="5" t="str">
        <f ca="1">IFERROR(ROWSDUMMYFUNCTION(IF(A958="","",CONCATENATE("https://us.pandora.net/on/demandware.static/-/Sites-pandora-master-catalog/default/dwbb259ca6/productimages/singlepackshot/",LEFT(A958,FIND("-",A958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59" spans="1:4" x14ac:dyDescent="0.25">
      <c r="A959" s="3" t="s">
        <v>961</v>
      </c>
      <c r="B959" s="4">
        <v>89</v>
      </c>
      <c r="C959" s="3" t="str">
        <f ca="1">IFERROR(ROWSDUMMYFUNCTION(IF(A959="","",IFERROR(IMAGE(CONCATENATE("https://us.pandora.net/on/demandware.static/-/Sites-pandora-master-catalog/default/dwbb259ca6/productimages/singlepackshot/",LEFT(A959,FIND("-",A959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59" s="5" t="str">
        <f ca="1">IFERROR(ROWSDUMMYFUNCTION(IF(A959="","",CONCATENATE("https://us.pandora.net/on/demandware.static/-/Sites-pandora-master-catalog/default/dwbb259ca6/productimages/singlepackshot/",LEFT(A959,FIND("-",A959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60" spans="1:4" x14ac:dyDescent="0.25">
      <c r="A960" s="3" t="s">
        <v>962</v>
      </c>
      <c r="B960" s="4">
        <v>89</v>
      </c>
      <c r="C960" s="3" t="str">
        <f ca="1">IFERROR(ROWSDUMMYFUNCTION(IF(A960="","",IFERROR(IMAGE(CONCATENATE("https://us.pandora.net/on/demandware.static/-/Sites-pandora-master-catalog/default/dwbb259ca6/productimages/singlepackshot/",LEFT(A960,FIND("-",A960&amp;"-")-1),"_RGB.png")),""))),"{""url"":""https://us.pandora.net/on/demandware.static/-/Sites-pandora-master-catalog/default/dwbb259ca6/productimages/singlepackshot/191198C01_RGB.png"",""mode"":1}")</f>
        <v>{"url":"https://us.pandora.net/on/demandware.static/-/Sites-pandora-master-catalog/default/dwbb259ca6/productimages/singlepackshot/191198C01_RGB.png","mode":1}</v>
      </c>
      <c r="D960" s="5" t="str">
        <f ca="1">IFERROR(ROWSDUMMYFUNCTION(IF(A960="","",CONCATENATE("https://us.pandora.net/on/demandware.static/-/Sites-pandora-master-catalog/default/dwbb259ca6/productimages/singlepackshot/",LEFT(A960,FIND("-",A960&amp;"-")-1),"_RGB.png"))),"https://us.pandora.net/on/demandware.static/-/Sites-pandora-master-catalog/default/dwbb259ca6/productimages/singlepackshot/191198C01_RGB.png")</f>
        <v>https://us.pandora.net/on/demandware.static/-/Sites-pandora-master-catalog/default/dwbb259ca6/productimages/singlepackshot/191198C01_RGB.png</v>
      </c>
    </row>
    <row r="961" spans="1:4" x14ac:dyDescent="0.25">
      <c r="A961" s="3" t="s">
        <v>963</v>
      </c>
      <c r="B961" s="4">
        <v>59</v>
      </c>
      <c r="C961" s="3" t="str">
        <f ca="1">IFERROR(ROWSDUMMYFUNCTION(IF(A961="","",IFERROR(IMAGE(CONCATENATE("https://us.pandora.net/on/demandware.static/-/Sites-pandora-master-catalog/default/dwbb259ca6/productimages/singlepackshot/",LEFT(A961,FIND("-",A961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1" s="5" t="str">
        <f ca="1">IFERROR(ROWSDUMMYFUNCTION(IF(A961="","",CONCATENATE("https://us.pandora.net/on/demandware.static/-/Sites-pandora-master-catalog/default/dwbb259ca6/productimages/singlepackshot/",LEFT(A961,FIND("-",A961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2" spans="1:4" x14ac:dyDescent="0.25">
      <c r="A962" s="3" t="s">
        <v>964</v>
      </c>
      <c r="B962" s="4">
        <v>59</v>
      </c>
      <c r="C962" s="3" t="str">
        <f ca="1">IFERROR(ROWSDUMMYFUNCTION(IF(A962="","",IFERROR(IMAGE(CONCATENATE("https://us.pandora.net/on/demandware.static/-/Sites-pandora-master-catalog/default/dwbb259ca6/productimages/singlepackshot/",LEFT(A962,FIND("-",A962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2" s="5" t="str">
        <f ca="1">IFERROR(ROWSDUMMYFUNCTION(IF(A962="","",CONCATENATE("https://us.pandora.net/on/demandware.static/-/Sites-pandora-master-catalog/default/dwbb259ca6/productimages/singlepackshot/",LEFT(A962,FIND("-",A962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3" spans="1:4" x14ac:dyDescent="0.25">
      <c r="A963" s="3" t="s">
        <v>965</v>
      </c>
      <c r="B963" s="4">
        <v>59</v>
      </c>
      <c r="C963" s="3" t="str">
        <f ca="1">IFERROR(ROWSDUMMYFUNCTION(IF(A963="","",IFERROR(IMAGE(CONCATENATE("https://us.pandora.net/on/demandware.static/-/Sites-pandora-master-catalog/default/dwbb259ca6/productimages/singlepackshot/",LEFT(A963,FIND("-",A963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3" s="5" t="str">
        <f ca="1">IFERROR(ROWSDUMMYFUNCTION(IF(A963="","",CONCATENATE("https://us.pandora.net/on/demandware.static/-/Sites-pandora-master-catalog/default/dwbb259ca6/productimages/singlepackshot/",LEFT(A963,FIND("-",A963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4" spans="1:4" x14ac:dyDescent="0.25">
      <c r="A964" s="3" t="s">
        <v>966</v>
      </c>
      <c r="B964" s="4">
        <v>59</v>
      </c>
      <c r="C964" s="3" t="str">
        <f ca="1">IFERROR(ROWSDUMMYFUNCTION(IF(A964="","",IFERROR(IMAGE(CONCATENATE("https://us.pandora.net/on/demandware.static/-/Sites-pandora-master-catalog/default/dwbb259ca6/productimages/singlepackshot/",LEFT(A964,FIND("-",A964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4" s="5" t="str">
        <f ca="1">IFERROR(ROWSDUMMYFUNCTION(IF(A964="","",CONCATENATE("https://us.pandora.net/on/demandware.static/-/Sites-pandora-master-catalog/default/dwbb259ca6/productimages/singlepackshot/",LEFT(A964,FIND("-",A964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5" spans="1:4" x14ac:dyDescent="0.25">
      <c r="A965" s="3" t="s">
        <v>967</v>
      </c>
      <c r="B965" s="4">
        <v>59</v>
      </c>
      <c r="C965" s="3" t="str">
        <f ca="1">IFERROR(ROWSDUMMYFUNCTION(IF(A965="","",IFERROR(IMAGE(CONCATENATE("https://us.pandora.net/on/demandware.static/-/Sites-pandora-master-catalog/default/dwbb259ca6/productimages/singlepackshot/",LEFT(A965,FIND("-",A965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5" s="5" t="str">
        <f ca="1">IFERROR(ROWSDUMMYFUNCTION(IF(A965="","",CONCATENATE("https://us.pandora.net/on/demandware.static/-/Sites-pandora-master-catalog/default/dwbb259ca6/productimages/singlepackshot/",LEFT(A965,FIND("-",A965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6" spans="1:4" x14ac:dyDescent="0.25">
      <c r="A966" s="3" t="s">
        <v>968</v>
      </c>
      <c r="B966" s="4">
        <v>59</v>
      </c>
      <c r="C966" s="3" t="str">
        <f ca="1">IFERROR(ROWSDUMMYFUNCTION(IF(A966="","",IFERROR(IMAGE(CONCATENATE("https://us.pandora.net/on/demandware.static/-/Sites-pandora-master-catalog/default/dwbb259ca6/productimages/singlepackshot/",LEFT(A966,FIND("-",A966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6" s="5" t="str">
        <f ca="1">IFERROR(ROWSDUMMYFUNCTION(IF(A966="","",CONCATENATE("https://us.pandora.net/on/demandware.static/-/Sites-pandora-master-catalog/default/dwbb259ca6/productimages/singlepackshot/",LEFT(A966,FIND("-",A966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7" spans="1:4" x14ac:dyDescent="0.25">
      <c r="A967" s="3" t="s">
        <v>969</v>
      </c>
      <c r="B967" s="4">
        <v>59</v>
      </c>
      <c r="C967" s="3" t="str">
        <f ca="1">IFERROR(ROWSDUMMYFUNCTION(IF(A967="","",IFERROR(IMAGE(CONCATENATE("https://us.pandora.net/on/demandware.static/-/Sites-pandora-master-catalog/default/dwbb259ca6/productimages/singlepackshot/",LEFT(A967,FIND("-",A967&amp;"-")-1),"_RGB.png")),""))),"{""url"":""https://us.pandora.net/on/demandware.static/-/Sites-pandora-master-catalog/default/dwbb259ca6/productimages/singlepackshot/192232C01_RGB.png"",""mode"":1}")</f>
        <v>{"url":"https://us.pandora.net/on/demandware.static/-/Sites-pandora-master-catalog/default/dwbb259ca6/productimages/singlepackshot/192232C01_RGB.png","mode":1}</v>
      </c>
      <c r="D967" s="5" t="str">
        <f ca="1">IFERROR(ROWSDUMMYFUNCTION(IF(A967="","",CONCATENATE("https://us.pandora.net/on/demandware.static/-/Sites-pandora-master-catalog/default/dwbb259ca6/productimages/singlepackshot/",LEFT(A967,FIND("-",A967&amp;"-")-1),"_RGB.png"))),"https://us.pandora.net/on/demandware.static/-/Sites-pandora-master-catalog/default/dwbb259ca6/productimages/singlepackshot/192232C01_RGB.png")</f>
        <v>https://us.pandora.net/on/demandware.static/-/Sites-pandora-master-catalog/default/dwbb259ca6/productimages/singlepackshot/192232C01_RGB.png</v>
      </c>
    </row>
    <row r="968" spans="1:4" x14ac:dyDescent="0.25">
      <c r="A968" s="3" t="s">
        <v>970</v>
      </c>
      <c r="B968" s="4">
        <v>69</v>
      </c>
      <c r="C968" s="3" t="str">
        <f ca="1">IFERROR(ROWSDUMMYFUNCTION(IF(A968="","",IFERROR(IMAGE(CONCATENATE("https://us.pandora.net/on/demandware.static/-/Sites-pandora-master-catalog/default/dwbb259ca6/productimages/singlepackshot/",LEFT(A968,FIND("-",A968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68" s="5" t="str">
        <f ca="1">IFERROR(ROWSDUMMYFUNCTION(IF(A968="","",CONCATENATE("https://us.pandora.net/on/demandware.static/-/Sites-pandora-master-catalog/default/dwbb259ca6/productimages/singlepackshot/",LEFT(A968,FIND("-",A968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69" spans="1:4" x14ac:dyDescent="0.25">
      <c r="A969" s="3" t="s">
        <v>971</v>
      </c>
      <c r="B969" s="4">
        <v>69</v>
      </c>
      <c r="C969" s="3" t="str">
        <f ca="1">IFERROR(ROWSDUMMYFUNCTION(IF(A969="","",IFERROR(IMAGE(CONCATENATE("https://us.pandora.net/on/demandware.static/-/Sites-pandora-master-catalog/default/dwbb259ca6/productimages/singlepackshot/",LEFT(A969,FIND("-",A969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69" s="5" t="str">
        <f ca="1">IFERROR(ROWSDUMMYFUNCTION(IF(A969="","",CONCATENATE("https://us.pandora.net/on/demandware.static/-/Sites-pandora-master-catalog/default/dwbb259ca6/productimages/singlepackshot/",LEFT(A969,FIND("-",A969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70" spans="1:4" x14ac:dyDescent="0.25">
      <c r="A970" s="3" t="s">
        <v>972</v>
      </c>
      <c r="B970" s="4">
        <v>69</v>
      </c>
      <c r="C970" s="3" t="str">
        <f ca="1">IFERROR(ROWSDUMMYFUNCTION(IF(A970="","",IFERROR(IMAGE(CONCATENATE("https://us.pandora.net/on/demandware.static/-/Sites-pandora-master-catalog/default/dwbb259ca6/productimages/singlepackshot/",LEFT(A970,FIND("-",A970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70" s="5" t="str">
        <f ca="1">IFERROR(ROWSDUMMYFUNCTION(IF(A970="","",CONCATENATE("https://us.pandora.net/on/demandware.static/-/Sites-pandora-master-catalog/default/dwbb259ca6/productimages/singlepackshot/",LEFT(A970,FIND("-",A970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71" spans="1:4" x14ac:dyDescent="0.25">
      <c r="A971" s="3" t="s">
        <v>973</v>
      </c>
      <c r="B971" s="4">
        <v>69</v>
      </c>
      <c r="C971" s="3" t="str">
        <f ca="1">IFERROR(ROWSDUMMYFUNCTION(IF(A971="","",IFERROR(IMAGE(CONCATENATE("https://us.pandora.net/on/demandware.static/-/Sites-pandora-master-catalog/default/dwbb259ca6/productimages/singlepackshot/",LEFT(A971,FIND("-",A971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71" s="5" t="str">
        <f ca="1">IFERROR(ROWSDUMMYFUNCTION(IF(A971="","",CONCATENATE("https://us.pandora.net/on/demandware.static/-/Sites-pandora-master-catalog/default/dwbb259ca6/productimages/singlepackshot/",LEFT(A971,FIND("-",A971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72" spans="1:4" x14ac:dyDescent="0.25">
      <c r="A972" s="3" t="s">
        <v>974</v>
      </c>
      <c r="B972" s="4">
        <v>69</v>
      </c>
      <c r="C972" s="3" t="str">
        <f ca="1">IFERROR(ROWSDUMMYFUNCTION(IF(A972="","",IFERROR(IMAGE(CONCATENATE("https://us.pandora.net/on/demandware.static/-/Sites-pandora-master-catalog/default/dwbb259ca6/productimages/singlepackshot/",LEFT(A972,FIND("-",A972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72" s="5" t="str">
        <f ca="1">IFERROR(ROWSDUMMYFUNCTION(IF(A972="","",CONCATENATE("https://us.pandora.net/on/demandware.static/-/Sites-pandora-master-catalog/default/dwbb259ca6/productimages/singlepackshot/",LEFT(A972,FIND("-",A972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73" spans="1:4" x14ac:dyDescent="0.25">
      <c r="A973" s="3" t="s">
        <v>975</v>
      </c>
      <c r="B973" s="4">
        <v>69</v>
      </c>
      <c r="C973" s="3" t="str">
        <f ca="1">IFERROR(ROWSDUMMYFUNCTION(IF(A973="","",IFERROR(IMAGE(CONCATENATE("https://us.pandora.net/on/demandware.static/-/Sites-pandora-master-catalog/default/dwbb259ca6/productimages/singlepackshot/",LEFT(A973,FIND("-",A973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73" s="5" t="str">
        <f ca="1">IFERROR(ROWSDUMMYFUNCTION(IF(A973="","",CONCATENATE("https://us.pandora.net/on/demandware.static/-/Sites-pandora-master-catalog/default/dwbb259ca6/productimages/singlepackshot/",LEFT(A973,FIND("-",A973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74" spans="1:4" x14ac:dyDescent="0.25">
      <c r="A974" s="3" t="s">
        <v>976</v>
      </c>
      <c r="B974" s="4">
        <v>69</v>
      </c>
      <c r="C974" s="3" t="str">
        <f ca="1">IFERROR(ROWSDUMMYFUNCTION(IF(A974="","",IFERROR(IMAGE(CONCATENATE("https://us.pandora.net/on/demandware.static/-/Sites-pandora-master-catalog/default/dwbb259ca6/productimages/singlepackshot/",LEFT(A974,FIND("-",A974&amp;"-")-1),"_RGB.png")),""))),"{""url"":""https://us.pandora.net/on/demandware.static/-/Sites-pandora-master-catalog/default/dwbb259ca6/productimages/singlepackshot/192233C01_RGB.png"",""mode"":1}")</f>
        <v>{"url":"https://us.pandora.net/on/demandware.static/-/Sites-pandora-master-catalog/default/dwbb259ca6/productimages/singlepackshot/192233C01_RGB.png","mode":1}</v>
      </c>
      <c r="D974" s="5" t="str">
        <f ca="1">IFERROR(ROWSDUMMYFUNCTION(IF(A974="","",CONCATENATE("https://us.pandora.net/on/demandware.static/-/Sites-pandora-master-catalog/default/dwbb259ca6/productimages/singlepackshot/",LEFT(A974,FIND("-",A974&amp;"-")-1),"_RGB.png"))),"https://us.pandora.net/on/demandware.static/-/Sites-pandora-master-catalog/default/dwbb259ca6/productimages/singlepackshot/192233C01_RGB.png")</f>
        <v>https://us.pandora.net/on/demandware.static/-/Sites-pandora-master-catalog/default/dwbb259ca6/productimages/singlepackshot/192233C01_RGB.png</v>
      </c>
    </row>
    <row r="975" spans="1:4" x14ac:dyDescent="0.25">
      <c r="A975" s="3" t="s">
        <v>977</v>
      </c>
      <c r="B975" s="4">
        <v>99</v>
      </c>
      <c r="C975" s="3" t="str">
        <f ca="1">IFERROR(ROWSDUMMYFUNCTION(IF(A975="","",IFERROR(IMAGE(CONCATENATE("https://us.pandora.net/on/demandware.static/-/Sites-pandora-master-catalog/default/dwbb259ca6/productimages/singlepackshot/",LEFT(A975,FIND("-",A975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75" s="5" t="str">
        <f ca="1">IFERROR(ROWSDUMMYFUNCTION(IF(A975="","",CONCATENATE("https://us.pandora.net/on/demandware.static/-/Sites-pandora-master-catalog/default/dwbb259ca6/productimages/singlepackshot/",LEFT(A975,FIND("-",A975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76" spans="1:4" x14ac:dyDescent="0.25">
      <c r="A976" s="3" t="s">
        <v>978</v>
      </c>
      <c r="B976" s="4">
        <v>99</v>
      </c>
      <c r="C976" s="3" t="str">
        <f ca="1">IFERROR(ROWSDUMMYFUNCTION(IF(A976="","",IFERROR(IMAGE(CONCATENATE("https://us.pandora.net/on/demandware.static/-/Sites-pandora-master-catalog/default/dwbb259ca6/productimages/singlepackshot/",LEFT(A976,FIND("-",A976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76" s="5" t="str">
        <f ca="1">IFERROR(ROWSDUMMYFUNCTION(IF(A976="","",CONCATENATE("https://us.pandora.net/on/demandware.static/-/Sites-pandora-master-catalog/default/dwbb259ca6/productimages/singlepackshot/",LEFT(A976,FIND("-",A976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77" spans="1:4" x14ac:dyDescent="0.25">
      <c r="A977" s="3" t="s">
        <v>979</v>
      </c>
      <c r="B977" s="4">
        <v>99</v>
      </c>
      <c r="C977" s="3" t="str">
        <f ca="1">IFERROR(ROWSDUMMYFUNCTION(IF(A977="","",IFERROR(IMAGE(CONCATENATE("https://us.pandora.net/on/demandware.static/-/Sites-pandora-master-catalog/default/dwbb259ca6/productimages/singlepackshot/",LEFT(A977,FIND("-",A977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77" s="5" t="str">
        <f ca="1">IFERROR(ROWSDUMMYFUNCTION(IF(A977="","",CONCATENATE("https://us.pandora.net/on/demandware.static/-/Sites-pandora-master-catalog/default/dwbb259ca6/productimages/singlepackshot/",LEFT(A977,FIND("-",A977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78" spans="1:4" x14ac:dyDescent="0.25">
      <c r="A978" s="3" t="s">
        <v>980</v>
      </c>
      <c r="B978" s="4">
        <v>99</v>
      </c>
      <c r="C978" s="3" t="str">
        <f ca="1">IFERROR(ROWSDUMMYFUNCTION(IF(A978="","",IFERROR(IMAGE(CONCATENATE("https://us.pandora.net/on/demandware.static/-/Sites-pandora-master-catalog/default/dwbb259ca6/productimages/singlepackshot/",LEFT(A978,FIND("-",A978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78" s="5" t="str">
        <f ca="1">IFERROR(ROWSDUMMYFUNCTION(IF(A978="","",CONCATENATE("https://us.pandora.net/on/demandware.static/-/Sites-pandora-master-catalog/default/dwbb259ca6/productimages/singlepackshot/",LEFT(A978,FIND("-",A978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79" spans="1:4" x14ac:dyDescent="0.25">
      <c r="A979" s="3" t="s">
        <v>981</v>
      </c>
      <c r="B979" s="4">
        <v>99</v>
      </c>
      <c r="C979" s="3" t="str">
        <f ca="1">IFERROR(ROWSDUMMYFUNCTION(IF(A979="","",IFERROR(IMAGE(CONCATENATE("https://us.pandora.net/on/demandware.static/-/Sites-pandora-master-catalog/default/dwbb259ca6/productimages/singlepackshot/",LEFT(A979,FIND("-",A979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79" s="5" t="str">
        <f ca="1">IFERROR(ROWSDUMMYFUNCTION(IF(A979="","",CONCATENATE("https://us.pandora.net/on/demandware.static/-/Sites-pandora-master-catalog/default/dwbb259ca6/productimages/singlepackshot/",LEFT(A979,FIND("-",A979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80" spans="1:4" x14ac:dyDescent="0.25">
      <c r="A980" s="3" t="s">
        <v>982</v>
      </c>
      <c r="B980" s="4">
        <v>99</v>
      </c>
      <c r="C980" s="3" t="str">
        <f ca="1">IFERROR(ROWSDUMMYFUNCTION(IF(A980="","",IFERROR(IMAGE(CONCATENATE("https://us.pandora.net/on/demandware.static/-/Sites-pandora-master-catalog/default/dwbb259ca6/productimages/singlepackshot/",LEFT(A980,FIND("-",A980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80" s="5" t="str">
        <f ca="1">IFERROR(ROWSDUMMYFUNCTION(IF(A980="","",CONCATENATE("https://us.pandora.net/on/demandware.static/-/Sites-pandora-master-catalog/default/dwbb259ca6/productimages/singlepackshot/",LEFT(A980,FIND("-",A980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81" spans="1:4" x14ac:dyDescent="0.25">
      <c r="A981" s="3" t="s">
        <v>983</v>
      </c>
      <c r="B981" s="4">
        <v>99</v>
      </c>
      <c r="C981" s="3" t="str">
        <f ca="1">IFERROR(ROWSDUMMYFUNCTION(IF(A981="","",IFERROR(IMAGE(CONCATENATE("https://us.pandora.net/on/demandware.static/-/Sites-pandora-master-catalog/default/dwbb259ca6/productimages/singlepackshot/",LEFT(A981,FIND("-",A981&amp;"-")-1),"_RGB.png")),""))),"{""url"":""https://us.pandora.net/on/demandware.static/-/Sites-pandora-master-catalog/default/dwbb259ca6/productimages/singlepackshot/192312C01_RGB.png"",""mode"":1}")</f>
        <v>{"url":"https://us.pandora.net/on/demandware.static/-/Sites-pandora-master-catalog/default/dwbb259ca6/productimages/singlepackshot/192312C01_RGB.png","mode":1}</v>
      </c>
      <c r="D981" s="5" t="str">
        <f ca="1">IFERROR(ROWSDUMMYFUNCTION(IF(A981="","",CONCATENATE("https://us.pandora.net/on/demandware.static/-/Sites-pandora-master-catalog/default/dwbb259ca6/productimages/singlepackshot/",LEFT(A981,FIND("-",A981&amp;"-")-1),"_RGB.png"))),"https://us.pandora.net/on/demandware.static/-/Sites-pandora-master-catalog/default/dwbb259ca6/productimages/singlepackshot/192312C01_RGB.png")</f>
        <v>https://us.pandora.net/on/demandware.static/-/Sites-pandora-master-catalog/default/dwbb259ca6/productimages/singlepackshot/192312C01_RGB.png</v>
      </c>
    </row>
    <row r="982" spans="1:4" x14ac:dyDescent="0.25">
      <c r="A982" s="3" t="s">
        <v>984</v>
      </c>
      <c r="B982" s="4">
        <v>69</v>
      </c>
      <c r="C982" s="3" t="str">
        <f ca="1">IFERROR(ROWSDUMMYFUNCTION(IF(A982="","",IFERROR(IMAGE(CONCATENATE("https://us.pandora.net/on/demandware.static/-/Sites-pandora-master-catalog/default/dwbb259ca6/productimages/singlepackshot/",LEFT(A982,FIND("-",A982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2" s="5" t="str">
        <f ca="1">IFERROR(ROWSDUMMYFUNCTION(IF(A982="","",CONCATENATE("https://us.pandora.net/on/demandware.static/-/Sites-pandora-master-catalog/default/dwbb259ca6/productimages/singlepackshot/",LEFT(A982,FIND("-",A982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3" spans="1:4" x14ac:dyDescent="0.25">
      <c r="A983" s="3" t="s">
        <v>985</v>
      </c>
      <c r="B983" s="4">
        <v>69</v>
      </c>
      <c r="C983" s="3" t="str">
        <f ca="1">IFERROR(ROWSDUMMYFUNCTION(IF(A983="","",IFERROR(IMAGE(CONCATENATE("https://us.pandora.net/on/demandware.static/-/Sites-pandora-master-catalog/default/dwbb259ca6/productimages/singlepackshot/",LEFT(A983,FIND("-",A983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3" s="5" t="str">
        <f ca="1">IFERROR(ROWSDUMMYFUNCTION(IF(A983="","",CONCATENATE("https://us.pandora.net/on/demandware.static/-/Sites-pandora-master-catalog/default/dwbb259ca6/productimages/singlepackshot/",LEFT(A983,FIND("-",A983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4" spans="1:4" x14ac:dyDescent="0.25">
      <c r="A984" s="3" t="s">
        <v>986</v>
      </c>
      <c r="B984" s="4">
        <v>69</v>
      </c>
      <c r="C984" s="3" t="str">
        <f ca="1">IFERROR(ROWSDUMMYFUNCTION(IF(A984="","",IFERROR(IMAGE(CONCATENATE("https://us.pandora.net/on/demandware.static/-/Sites-pandora-master-catalog/default/dwbb259ca6/productimages/singlepackshot/",LEFT(A984,FIND("-",A984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4" s="5" t="str">
        <f ca="1">IFERROR(ROWSDUMMYFUNCTION(IF(A984="","",CONCATENATE("https://us.pandora.net/on/demandware.static/-/Sites-pandora-master-catalog/default/dwbb259ca6/productimages/singlepackshot/",LEFT(A984,FIND("-",A984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5" spans="1:4" x14ac:dyDescent="0.25">
      <c r="A985" s="3" t="s">
        <v>987</v>
      </c>
      <c r="B985" s="4">
        <v>69</v>
      </c>
      <c r="C985" s="3" t="str">
        <f ca="1">IFERROR(ROWSDUMMYFUNCTION(IF(A985="","",IFERROR(IMAGE(CONCATENATE("https://us.pandora.net/on/demandware.static/-/Sites-pandora-master-catalog/default/dwbb259ca6/productimages/singlepackshot/",LEFT(A985,FIND("-",A985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5" s="5" t="str">
        <f ca="1">IFERROR(ROWSDUMMYFUNCTION(IF(A985="","",CONCATENATE("https://us.pandora.net/on/demandware.static/-/Sites-pandora-master-catalog/default/dwbb259ca6/productimages/singlepackshot/",LEFT(A985,FIND("-",A985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6" spans="1:4" x14ac:dyDescent="0.25">
      <c r="A986" s="3" t="s">
        <v>988</v>
      </c>
      <c r="B986" s="4">
        <v>69</v>
      </c>
      <c r="C986" s="3" t="str">
        <f ca="1">IFERROR(ROWSDUMMYFUNCTION(IF(A986="","",IFERROR(IMAGE(CONCATENATE("https://us.pandora.net/on/demandware.static/-/Sites-pandora-master-catalog/default/dwbb259ca6/productimages/singlepackshot/",LEFT(A986,FIND("-",A986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6" s="5" t="str">
        <f ca="1">IFERROR(ROWSDUMMYFUNCTION(IF(A986="","",CONCATENATE("https://us.pandora.net/on/demandware.static/-/Sites-pandora-master-catalog/default/dwbb259ca6/productimages/singlepackshot/",LEFT(A986,FIND("-",A986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7" spans="1:4" x14ac:dyDescent="0.25">
      <c r="A987" s="3" t="s">
        <v>989</v>
      </c>
      <c r="B987" s="4">
        <v>69</v>
      </c>
      <c r="C987" s="3" t="str">
        <f ca="1">IFERROR(ROWSDUMMYFUNCTION(IF(A987="","",IFERROR(IMAGE(CONCATENATE("https://us.pandora.net/on/demandware.static/-/Sites-pandora-master-catalog/default/dwbb259ca6/productimages/singlepackshot/",LEFT(A987,FIND("-",A987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7" s="5" t="str">
        <f ca="1">IFERROR(ROWSDUMMYFUNCTION(IF(A987="","",CONCATENATE("https://us.pandora.net/on/demandware.static/-/Sites-pandora-master-catalog/default/dwbb259ca6/productimages/singlepackshot/",LEFT(A987,FIND("-",A987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8" spans="1:4" x14ac:dyDescent="0.25">
      <c r="A988" s="3" t="s">
        <v>990</v>
      </c>
      <c r="B988" s="4">
        <v>69</v>
      </c>
      <c r="C988" s="3" t="str">
        <f ca="1">IFERROR(ROWSDUMMYFUNCTION(IF(A988="","",IFERROR(IMAGE(CONCATENATE("https://us.pandora.net/on/demandware.static/-/Sites-pandora-master-catalog/default/dwbb259ca6/productimages/singlepackshot/",LEFT(A988,FIND("-",A988&amp;"-")-1),"_RGB.png")),""))),"{""url"":""https://us.pandora.net/on/demandware.static/-/Sites-pandora-master-catalog/default/dwbb259ca6/productimages/singlepackshot/192344C01_RGB.png"",""mode"":1}")</f>
        <v>{"url":"https://us.pandora.net/on/demandware.static/-/Sites-pandora-master-catalog/default/dwbb259ca6/productimages/singlepackshot/192344C01_RGB.png","mode":1}</v>
      </c>
      <c r="D988" s="5" t="str">
        <f ca="1">IFERROR(ROWSDUMMYFUNCTION(IF(A988="","",CONCATENATE("https://us.pandora.net/on/demandware.static/-/Sites-pandora-master-catalog/default/dwbb259ca6/productimages/singlepackshot/",LEFT(A988,FIND("-",A988&amp;"-")-1),"_RGB.png"))),"https://us.pandora.net/on/demandware.static/-/Sites-pandora-master-catalog/default/dwbb259ca6/productimages/singlepackshot/192344C01_RGB.png")</f>
        <v>https://us.pandora.net/on/demandware.static/-/Sites-pandora-master-catalog/default/dwbb259ca6/productimages/singlepackshot/192344C01_RGB.png</v>
      </c>
    </row>
    <row r="989" spans="1:4" x14ac:dyDescent="0.25">
      <c r="A989" s="3" t="s">
        <v>991</v>
      </c>
      <c r="B989" s="4">
        <v>39</v>
      </c>
      <c r="C989" s="3" t="str">
        <f ca="1">IFERROR(ROWSDUMMYFUNCTION(IF(A989="","",IFERROR(IMAGE(CONCATENATE("https://us.pandora.net/on/demandware.static/-/Sites-pandora-master-catalog/default/dwbb259ca6/productimages/singlepackshot/",LEFT(A989,FIND("-",A989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89" s="5" t="str">
        <f ca="1">IFERROR(ROWSDUMMYFUNCTION(IF(A989="","",CONCATENATE("https://us.pandora.net/on/demandware.static/-/Sites-pandora-master-catalog/default/dwbb259ca6/productimages/singlepackshot/",LEFT(A989,FIND("-",A989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0" spans="1:4" x14ac:dyDescent="0.25">
      <c r="A990" s="3" t="s">
        <v>992</v>
      </c>
      <c r="B990" s="4">
        <v>39</v>
      </c>
      <c r="C990" s="3" t="str">
        <f ca="1">IFERROR(ROWSDUMMYFUNCTION(IF(A990="","",IFERROR(IMAGE(CONCATENATE("https://us.pandora.net/on/demandware.static/-/Sites-pandora-master-catalog/default/dwbb259ca6/productimages/singlepackshot/",LEFT(A990,FIND("-",A990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90" s="5" t="str">
        <f ca="1">IFERROR(ROWSDUMMYFUNCTION(IF(A990="","",CONCATENATE("https://us.pandora.net/on/demandware.static/-/Sites-pandora-master-catalog/default/dwbb259ca6/productimages/singlepackshot/",LEFT(A990,FIND("-",A990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1" spans="1:4" x14ac:dyDescent="0.25">
      <c r="A991" s="3" t="s">
        <v>993</v>
      </c>
      <c r="B991" s="4">
        <v>39</v>
      </c>
      <c r="C991" s="3" t="str">
        <f ca="1">IFERROR(ROWSDUMMYFUNCTION(IF(A991="","",IFERROR(IMAGE(CONCATENATE("https://us.pandora.net/on/demandware.static/-/Sites-pandora-master-catalog/default/dwbb259ca6/productimages/singlepackshot/",LEFT(A991,FIND("-",A991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91" s="5" t="str">
        <f ca="1">IFERROR(ROWSDUMMYFUNCTION(IF(A991="","",CONCATENATE("https://us.pandora.net/on/demandware.static/-/Sites-pandora-master-catalog/default/dwbb259ca6/productimages/singlepackshot/",LEFT(A991,FIND("-",A991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2" spans="1:4" x14ac:dyDescent="0.25">
      <c r="A992" s="3" t="s">
        <v>994</v>
      </c>
      <c r="B992" s="4">
        <v>39</v>
      </c>
      <c r="C992" s="3" t="str">
        <f ca="1">IFERROR(ROWSDUMMYFUNCTION(IF(A992="","",IFERROR(IMAGE(CONCATENATE("https://us.pandora.net/on/demandware.static/-/Sites-pandora-master-catalog/default/dwbb259ca6/productimages/singlepackshot/",LEFT(A992,FIND("-",A992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92" s="5" t="str">
        <f ca="1">IFERROR(ROWSDUMMYFUNCTION(IF(A992="","",CONCATENATE("https://us.pandora.net/on/demandware.static/-/Sites-pandora-master-catalog/default/dwbb259ca6/productimages/singlepackshot/",LEFT(A992,FIND("-",A992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3" spans="1:4" x14ac:dyDescent="0.25">
      <c r="A993" s="3" t="s">
        <v>995</v>
      </c>
      <c r="B993" s="4">
        <v>39</v>
      </c>
      <c r="C993" s="3" t="str">
        <f ca="1">IFERROR(ROWSDUMMYFUNCTION(IF(A993="","",IFERROR(IMAGE(CONCATENATE("https://us.pandora.net/on/demandware.static/-/Sites-pandora-master-catalog/default/dwbb259ca6/productimages/singlepackshot/",LEFT(A993,FIND("-",A993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93" s="5" t="str">
        <f ca="1">IFERROR(ROWSDUMMYFUNCTION(IF(A993="","",CONCATENATE("https://us.pandora.net/on/demandware.static/-/Sites-pandora-master-catalog/default/dwbb259ca6/productimages/singlepackshot/",LEFT(A993,FIND("-",A993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4" spans="1:4" x14ac:dyDescent="0.25">
      <c r="A994" s="3" t="s">
        <v>996</v>
      </c>
      <c r="B994" s="4">
        <v>39</v>
      </c>
      <c r="C994" s="3" t="str">
        <f ca="1">IFERROR(ROWSDUMMYFUNCTION(IF(A994="","",IFERROR(IMAGE(CONCATENATE("https://us.pandora.net/on/demandware.static/-/Sites-pandora-master-catalog/default/dwbb259ca6/productimages/singlepackshot/",LEFT(A994,FIND("-",A994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94" s="5" t="str">
        <f ca="1">IFERROR(ROWSDUMMYFUNCTION(IF(A994="","",CONCATENATE("https://us.pandora.net/on/demandware.static/-/Sites-pandora-master-catalog/default/dwbb259ca6/productimages/singlepackshot/",LEFT(A994,FIND("-",A994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5" spans="1:4" x14ac:dyDescent="0.25">
      <c r="A995" s="3" t="s">
        <v>997</v>
      </c>
      <c r="B995" s="4">
        <v>39</v>
      </c>
      <c r="C995" s="3" t="str">
        <f ca="1">IFERROR(ROWSDUMMYFUNCTION(IF(A995="","",IFERROR(IMAGE(CONCATENATE("https://us.pandora.net/on/demandware.static/-/Sites-pandora-master-catalog/default/dwbb259ca6/productimages/singlepackshot/",LEFT(A995,FIND("-",A995&amp;"-")-1),"_RGB.png")),""))),"{""url"":""https://us.pandora.net/on/demandware.static/-/Sites-pandora-master-catalog/default/dwbb259ca6/productimages/singlepackshot/192365C01_RGB.png"",""mode"":1}")</f>
        <v>{"url":"https://us.pandora.net/on/demandware.static/-/Sites-pandora-master-catalog/default/dwbb259ca6/productimages/singlepackshot/192365C01_RGB.png","mode":1}</v>
      </c>
      <c r="D995" s="5" t="str">
        <f ca="1">IFERROR(ROWSDUMMYFUNCTION(IF(A995="","",CONCATENATE("https://us.pandora.net/on/demandware.static/-/Sites-pandora-master-catalog/default/dwbb259ca6/productimages/singlepackshot/",LEFT(A995,FIND("-",A995&amp;"-")-1),"_RGB.png"))),"https://us.pandora.net/on/demandware.static/-/Sites-pandora-master-catalog/default/dwbb259ca6/productimages/singlepackshot/192365C01_RGB.png")</f>
        <v>https://us.pandora.net/on/demandware.static/-/Sites-pandora-master-catalog/default/dwbb259ca6/productimages/singlepackshot/192365C01_RGB.png</v>
      </c>
    </row>
    <row r="996" spans="1:4" x14ac:dyDescent="0.25">
      <c r="A996" s="3" t="s">
        <v>998</v>
      </c>
      <c r="B996" s="4">
        <v>99</v>
      </c>
      <c r="C996" s="3" t="str">
        <f ca="1">IFERROR(ROWSDUMMYFUNCTION(IF(A996="","",IFERROR(IMAGE(CONCATENATE("https://us.pandora.net/on/demandware.static/-/Sites-pandora-master-catalog/default/dwbb259ca6/productimages/singlepackshot/",LEFT(A996,FIND("-",A996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996" s="5" t="str">
        <f ca="1">IFERROR(ROWSDUMMYFUNCTION(IF(A996="","",CONCATENATE("https://us.pandora.net/on/demandware.static/-/Sites-pandora-master-catalog/default/dwbb259ca6/productimages/singlepackshot/",LEFT(A996,FIND("-",A996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997" spans="1:4" x14ac:dyDescent="0.25">
      <c r="A997" s="3" t="s">
        <v>999</v>
      </c>
      <c r="B997" s="4">
        <v>99</v>
      </c>
      <c r="C997" s="3" t="str">
        <f ca="1">IFERROR(ROWSDUMMYFUNCTION(IF(A997="","",IFERROR(IMAGE(CONCATENATE("https://us.pandora.net/on/demandware.static/-/Sites-pandora-master-catalog/default/dwbb259ca6/productimages/singlepackshot/",LEFT(A997,FIND("-",A997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997" s="5" t="str">
        <f ca="1">IFERROR(ROWSDUMMYFUNCTION(IF(A997="","",CONCATENATE("https://us.pandora.net/on/demandware.static/-/Sites-pandora-master-catalog/default/dwbb259ca6/productimages/singlepackshot/",LEFT(A997,FIND("-",A997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998" spans="1:4" x14ac:dyDescent="0.25">
      <c r="A998" s="3" t="s">
        <v>1000</v>
      </c>
      <c r="B998" s="4">
        <v>99</v>
      </c>
      <c r="C998" s="3" t="str">
        <f ca="1">IFERROR(ROWSDUMMYFUNCTION(IF(A998="","",IFERROR(IMAGE(CONCATENATE("https://us.pandora.net/on/demandware.static/-/Sites-pandora-master-catalog/default/dwbb259ca6/productimages/singlepackshot/",LEFT(A998,FIND("-",A998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998" s="5" t="str">
        <f ca="1">IFERROR(ROWSDUMMYFUNCTION(IF(A998="","",CONCATENATE("https://us.pandora.net/on/demandware.static/-/Sites-pandora-master-catalog/default/dwbb259ca6/productimages/singlepackshot/",LEFT(A998,FIND("-",A998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999" spans="1:4" x14ac:dyDescent="0.25">
      <c r="A999" s="3" t="s">
        <v>1001</v>
      </c>
      <c r="B999" s="4">
        <v>99</v>
      </c>
      <c r="C999" s="3" t="str">
        <f ca="1">IFERROR(ROWSDUMMYFUNCTION(IF(A999="","",IFERROR(IMAGE(CONCATENATE("https://us.pandora.net/on/demandware.static/-/Sites-pandora-master-catalog/default/dwbb259ca6/productimages/singlepackshot/",LEFT(A999,FIND("-",A999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999" s="5" t="str">
        <f ca="1">IFERROR(ROWSDUMMYFUNCTION(IF(A999="","",CONCATENATE("https://us.pandora.net/on/demandware.static/-/Sites-pandora-master-catalog/default/dwbb259ca6/productimages/singlepackshot/",LEFT(A999,FIND("-",A999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1000" spans="1:4" x14ac:dyDescent="0.25">
      <c r="A1000" s="3" t="s">
        <v>1002</v>
      </c>
      <c r="B1000" s="4">
        <v>99</v>
      </c>
      <c r="C1000" s="3" t="str">
        <f ca="1">IFERROR(ROWSDUMMYFUNCTION(IF(A1000="","",IFERROR(IMAGE(CONCATENATE("https://us.pandora.net/on/demandware.static/-/Sites-pandora-master-catalog/default/dwbb259ca6/productimages/singlepackshot/",LEFT(A1000,FIND("-",A1000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1000" s="5" t="str">
        <f ca="1">IFERROR(ROWSDUMMYFUNCTION(IF(A1000="","",CONCATENATE("https://us.pandora.net/on/demandware.static/-/Sites-pandora-master-catalog/default/dwbb259ca6/productimages/singlepackshot/",LEFT(A1000,FIND("-",A1000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1001" spans="1:4" x14ac:dyDescent="0.25">
      <c r="A1001" s="3" t="s">
        <v>1003</v>
      </c>
      <c r="B1001" s="4">
        <v>99</v>
      </c>
      <c r="C1001" s="3" t="str">
        <f ca="1">IFERROR(ROWSDUMMYFUNCTION(IF(A1001="","",IFERROR(IMAGE(CONCATENATE("https://us.pandora.net/on/demandware.static/-/Sites-pandora-master-catalog/default/dwbb259ca6/productimages/singlepackshot/",LEFT(A1001,FIND("-",A1001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1001" s="5" t="str">
        <f ca="1">IFERROR(ROWSDUMMYFUNCTION(IF(A1001="","",CONCATENATE("https://us.pandora.net/on/demandware.static/-/Sites-pandora-master-catalog/default/dwbb259ca6/productimages/singlepackshot/",LEFT(A1001,FIND("-",A1001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1002" spans="1:4" x14ac:dyDescent="0.25">
      <c r="A1002" s="3" t="s">
        <v>1004</v>
      </c>
      <c r="B1002" s="4">
        <v>99</v>
      </c>
      <c r="C1002" s="3" t="str">
        <f ca="1">IFERROR(ROWSDUMMYFUNCTION(IF(A1002="","",IFERROR(IMAGE(CONCATENATE("https://us.pandora.net/on/demandware.static/-/Sites-pandora-master-catalog/default/dwbb259ca6/productimages/singlepackshot/",LEFT(A1002,FIND("-",A1002&amp;"-")-1),"_RGB.png")),""))),"{""url"":""https://us.pandora.net/on/demandware.static/-/Sites-pandora-master-catalog/default/dwbb259ca6/productimages/singlepackshot/192389C01_RGB.png"",""mode"":1}")</f>
        <v>{"url":"https://us.pandora.net/on/demandware.static/-/Sites-pandora-master-catalog/default/dwbb259ca6/productimages/singlepackshot/192389C01_RGB.png","mode":1}</v>
      </c>
      <c r="D1002" s="5" t="str">
        <f ca="1">IFERROR(ROWSDUMMYFUNCTION(IF(A1002="","",CONCATENATE("https://us.pandora.net/on/demandware.static/-/Sites-pandora-master-catalog/default/dwbb259ca6/productimages/singlepackshot/",LEFT(A1002,FIND("-",A1002&amp;"-")-1),"_RGB.png"))),"https://us.pandora.net/on/demandware.static/-/Sites-pandora-master-catalog/default/dwbb259ca6/productimages/singlepackshot/192389C01_RGB.png")</f>
        <v>https://us.pandora.net/on/demandware.static/-/Sites-pandora-master-catalog/default/dwbb259ca6/productimages/singlepackshot/192389C01_RGB.png</v>
      </c>
    </row>
    <row r="1003" spans="1:4" x14ac:dyDescent="0.25">
      <c r="A1003" s="3" t="s">
        <v>1005</v>
      </c>
      <c r="B1003" s="4">
        <v>69</v>
      </c>
      <c r="C1003" s="3" t="str">
        <f ca="1">IFERROR(ROWSDUMMYFUNCTION(IF(A1003="","",IFERROR(IMAGE(CONCATENATE("https://us.pandora.net/on/demandware.static/-/Sites-pandora-master-catalog/default/dwbb259ca6/productimages/singlepackshot/",LEFT(A1003,FIND("-",A1003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3" s="5" t="str">
        <f ca="1">IFERROR(ROWSDUMMYFUNCTION(IF(A1003="","",CONCATENATE("https://us.pandora.net/on/demandware.static/-/Sites-pandora-master-catalog/default/dwbb259ca6/productimages/singlepackshot/",LEFT(A1003,FIND("-",A1003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04" spans="1:4" x14ac:dyDescent="0.25">
      <c r="A1004" s="3" t="s">
        <v>1006</v>
      </c>
      <c r="B1004" s="4">
        <v>69</v>
      </c>
      <c r="C1004" s="3" t="str">
        <f ca="1">IFERROR(ROWSDUMMYFUNCTION(IF(A1004="","",IFERROR(IMAGE(CONCATENATE("https://us.pandora.net/on/demandware.static/-/Sites-pandora-master-catalog/default/dwbb259ca6/productimages/singlepackshot/",LEFT(A1004,FIND("-",A1004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4" s="5" t="str">
        <f ca="1">IFERROR(ROWSDUMMYFUNCTION(IF(A1004="","",CONCATENATE("https://us.pandora.net/on/demandware.static/-/Sites-pandora-master-catalog/default/dwbb259ca6/productimages/singlepackshot/",LEFT(A1004,FIND("-",A1004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05" spans="1:4" x14ac:dyDescent="0.25">
      <c r="A1005" s="3" t="s">
        <v>1007</v>
      </c>
      <c r="B1005" s="4">
        <v>69</v>
      </c>
      <c r="C1005" s="3" t="str">
        <f ca="1">IFERROR(ROWSDUMMYFUNCTION(IF(A1005="","",IFERROR(IMAGE(CONCATENATE("https://us.pandora.net/on/demandware.static/-/Sites-pandora-master-catalog/default/dwbb259ca6/productimages/singlepackshot/",LEFT(A1005,FIND("-",A1005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5" s="5" t="str">
        <f ca="1">IFERROR(ROWSDUMMYFUNCTION(IF(A1005="","",CONCATENATE("https://us.pandora.net/on/demandware.static/-/Sites-pandora-master-catalog/default/dwbb259ca6/productimages/singlepackshot/",LEFT(A1005,FIND("-",A1005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06" spans="1:4" x14ac:dyDescent="0.25">
      <c r="A1006" s="3" t="s">
        <v>1008</v>
      </c>
      <c r="B1006" s="4">
        <v>69</v>
      </c>
      <c r="C1006" s="3" t="str">
        <f ca="1">IFERROR(ROWSDUMMYFUNCTION(IF(A1006="","",IFERROR(IMAGE(CONCATENATE("https://us.pandora.net/on/demandware.static/-/Sites-pandora-master-catalog/default/dwbb259ca6/productimages/singlepackshot/",LEFT(A1006,FIND("-",A1006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6" s="5" t="str">
        <f ca="1">IFERROR(ROWSDUMMYFUNCTION(IF(A1006="","",CONCATENATE("https://us.pandora.net/on/demandware.static/-/Sites-pandora-master-catalog/default/dwbb259ca6/productimages/singlepackshot/",LEFT(A1006,FIND("-",A1006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07" spans="1:4" x14ac:dyDescent="0.25">
      <c r="A1007" s="3" t="s">
        <v>1009</v>
      </c>
      <c r="B1007" s="4">
        <v>69</v>
      </c>
      <c r="C1007" s="3" t="str">
        <f ca="1">IFERROR(ROWSDUMMYFUNCTION(IF(A1007="","",IFERROR(IMAGE(CONCATENATE("https://us.pandora.net/on/demandware.static/-/Sites-pandora-master-catalog/default/dwbb259ca6/productimages/singlepackshot/",LEFT(A1007,FIND("-",A1007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7" s="5" t="str">
        <f ca="1">IFERROR(ROWSDUMMYFUNCTION(IF(A1007="","",CONCATENATE("https://us.pandora.net/on/demandware.static/-/Sites-pandora-master-catalog/default/dwbb259ca6/productimages/singlepackshot/",LEFT(A1007,FIND("-",A1007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08" spans="1:4" x14ac:dyDescent="0.25">
      <c r="A1008" s="3" t="s">
        <v>1010</v>
      </c>
      <c r="B1008" s="4">
        <v>69</v>
      </c>
      <c r="C1008" s="3" t="str">
        <f ca="1">IFERROR(ROWSDUMMYFUNCTION(IF(A1008="","",IFERROR(IMAGE(CONCATENATE("https://us.pandora.net/on/demandware.static/-/Sites-pandora-master-catalog/default/dwbb259ca6/productimages/singlepackshot/",LEFT(A1008,FIND("-",A1008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8" s="5" t="str">
        <f ca="1">IFERROR(ROWSDUMMYFUNCTION(IF(A1008="","",CONCATENATE("https://us.pandora.net/on/demandware.static/-/Sites-pandora-master-catalog/default/dwbb259ca6/productimages/singlepackshot/",LEFT(A1008,FIND("-",A1008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09" spans="1:4" x14ac:dyDescent="0.25">
      <c r="A1009" s="3" t="s">
        <v>1011</v>
      </c>
      <c r="B1009" s="4">
        <v>69</v>
      </c>
      <c r="C1009" s="3" t="str">
        <f ca="1">IFERROR(ROWSDUMMYFUNCTION(IF(A1009="","",IFERROR(IMAGE(CONCATENATE("https://us.pandora.net/on/demandware.static/-/Sites-pandora-master-catalog/default/dwbb259ca6/productimages/singlepackshot/",LEFT(A1009,FIND("-",A1009&amp;"-")-1),"_RGB.png")),""))),"{""url"":""https://us.pandora.net/on/demandware.static/-/Sites-pandora-master-catalog/default/dwbb259ca6/productimages/singlepackshot/192390C01_RGB.png"",""mode"":1}")</f>
        <v>{"url":"https://us.pandora.net/on/demandware.static/-/Sites-pandora-master-catalog/default/dwbb259ca6/productimages/singlepackshot/192390C01_RGB.png","mode":1}</v>
      </c>
      <c r="D1009" s="5" t="str">
        <f ca="1">IFERROR(ROWSDUMMYFUNCTION(IF(A1009="","",CONCATENATE("https://us.pandora.net/on/demandware.static/-/Sites-pandora-master-catalog/default/dwbb259ca6/productimages/singlepackshot/",LEFT(A1009,FIND("-",A1009&amp;"-")-1),"_RGB.png"))),"https://us.pandora.net/on/demandware.static/-/Sites-pandora-master-catalog/default/dwbb259ca6/productimages/singlepackshot/192390C01_RGB.png")</f>
        <v>https://us.pandora.net/on/demandware.static/-/Sites-pandora-master-catalog/default/dwbb259ca6/productimages/singlepackshot/192390C01_RGB.png</v>
      </c>
    </row>
    <row r="1010" spans="1:4" x14ac:dyDescent="0.25">
      <c r="A1010" s="3" t="s">
        <v>1012</v>
      </c>
      <c r="B1010" s="4">
        <v>89</v>
      </c>
      <c r="C1010" s="3" t="str">
        <f ca="1">IFERROR(ROWSDUMMYFUNCTION(IF(A1010="","",IFERROR(IMAGE(CONCATENATE("https://us.pandora.net/on/demandware.static/-/Sites-pandora-master-catalog/default/dwbb259ca6/productimages/singlepackshot/",LEFT(A1010,FIND("-",A1010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0" s="5" t="str">
        <f ca="1">IFERROR(ROWSDUMMYFUNCTION(IF(A1010="","",CONCATENATE("https://us.pandora.net/on/demandware.static/-/Sites-pandora-master-catalog/default/dwbb259ca6/productimages/singlepackshot/",LEFT(A1010,FIND("-",A1010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1" spans="1:4" x14ac:dyDescent="0.25">
      <c r="A1011" s="3" t="s">
        <v>1013</v>
      </c>
      <c r="B1011" s="4">
        <v>89</v>
      </c>
      <c r="C1011" s="3" t="str">
        <f ca="1">IFERROR(ROWSDUMMYFUNCTION(IF(A1011="","",IFERROR(IMAGE(CONCATENATE("https://us.pandora.net/on/demandware.static/-/Sites-pandora-master-catalog/default/dwbb259ca6/productimages/singlepackshot/",LEFT(A1011,FIND("-",A1011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1" s="5" t="str">
        <f ca="1">IFERROR(ROWSDUMMYFUNCTION(IF(A1011="","",CONCATENATE("https://us.pandora.net/on/demandware.static/-/Sites-pandora-master-catalog/default/dwbb259ca6/productimages/singlepackshot/",LEFT(A1011,FIND("-",A1011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2" spans="1:4" x14ac:dyDescent="0.25">
      <c r="A1012" s="3" t="s">
        <v>1014</v>
      </c>
      <c r="B1012" s="4">
        <v>89</v>
      </c>
      <c r="C1012" s="3" t="str">
        <f ca="1">IFERROR(ROWSDUMMYFUNCTION(IF(A1012="","",IFERROR(IMAGE(CONCATENATE("https://us.pandora.net/on/demandware.static/-/Sites-pandora-master-catalog/default/dwbb259ca6/productimages/singlepackshot/",LEFT(A1012,FIND("-",A1012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2" s="5" t="str">
        <f ca="1">IFERROR(ROWSDUMMYFUNCTION(IF(A1012="","",CONCATENATE("https://us.pandora.net/on/demandware.static/-/Sites-pandora-master-catalog/default/dwbb259ca6/productimages/singlepackshot/",LEFT(A1012,FIND("-",A1012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3" spans="1:4" x14ac:dyDescent="0.25">
      <c r="A1013" s="3" t="s">
        <v>1015</v>
      </c>
      <c r="B1013" s="4">
        <v>89</v>
      </c>
      <c r="C1013" s="3" t="str">
        <f ca="1">IFERROR(ROWSDUMMYFUNCTION(IF(A1013="","",IFERROR(IMAGE(CONCATENATE("https://us.pandora.net/on/demandware.static/-/Sites-pandora-master-catalog/default/dwbb259ca6/productimages/singlepackshot/",LEFT(A1013,FIND("-",A1013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3" s="5" t="str">
        <f ca="1">IFERROR(ROWSDUMMYFUNCTION(IF(A1013="","",CONCATENATE("https://us.pandora.net/on/demandware.static/-/Sites-pandora-master-catalog/default/dwbb259ca6/productimages/singlepackshot/",LEFT(A1013,FIND("-",A1013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4" spans="1:4" x14ac:dyDescent="0.25">
      <c r="A1014" s="3" t="s">
        <v>1016</v>
      </c>
      <c r="B1014" s="4">
        <v>89</v>
      </c>
      <c r="C1014" s="3" t="str">
        <f ca="1">IFERROR(ROWSDUMMYFUNCTION(IF(A1014="","",IFERROR(IMAGE(CONCATENATE("https://us.pandora.net/on/demandware.static/-/Sites-pandora-master-catalog/default/dwbb259ca6/productimages/singlepackshot/",LEFT(A1014,FIND("-",A1014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4" s="5" t="str">
        <f ca="1">IFERROR(ROWSDUMMYFUNCTION(IF(A1014="","",CONCATENATE("https://us.pandora.net/on/demandware.static/-/Sites-pandora-master-catalog/default/dwbb259ca6/productimages/singlepackshot/",LEFT(A1014,FIND("-",A1014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5" spans="1:4" x14ac:dyDescent="0.25">
      <c r="A1015" s="3" t="s">
        <v>1017</v>
      </c>
      <c r="B1015" s="4">
        <v>89</v>
      </c>
      <c r="C1015" s="3" t="str">
        <f ca="1">IFERROR(ROWSDUMMYFUNCTION(IF(A1015="","",IFERROR(IMAGE(CONCATENATE("https://us.pandora.net/on/demandware.static/-/Sites-pandora-master-catalog/default/dwbb259ca6/productimages/singlepackshot/",LEFT(A1015,FIND("-",A1015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5" s="5" t="str">
        <f ca="1">IFERROR(ROWSDUMMYFUNCTION(IF(A1015="","",CONCATENATE("https://us.pandora.net/on/demandware.static/-/Sites-pandora-master-catalog/default/dwbb259ca6/productimages/singlepackshot/",LEFT(A1015,FIND("-",A1015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6" spans="1:4" x14ac:dyDescent="0.25">
      <c r="A1016" s="3" t="s">
        <v>1018</v>
      </c>
      <c r="B1016" s="4">
        <v>89</v>
      </c>
      <c r="C1016" s="3" t="str">
        <f ca="1">IFERROR(ROWSDUMMYFUNCTION(IF(A1016="","",IFERROR(IMAGE(CONCATENATE("https://us.pandora.net/on/demandware.static/-/Sites-pandora-master-catalog/default/dwbb259ca6/productimages/singlepackshot/",LEFT(A1016,FIND("-",A1016&amp;"-")-1),"_RGB.png")),""))),"{""url"":""https://us.pandora.net/on/demandware.static/-/Sites-pandora-master-catalog/default/dwbb259ca6/productimages/singlepackshot/192391C01_RGB.png"",""mode"":1}")</f>
        <v>{"url":"https://us.pandora.net/on/demandware.static/-/Sites-pandora-master-catalog/default/dwbb259ca6/productimages/singlepackshot/192391C01_RGB.png","mode":1}</v>
      </c>
      <c r="D1016" s="5" t="str">
        <f ca="1">IFERROR(ROWSDUMMYFUNCTION(IF(A1016="","",CONCATENATE("https://us.pandora.net/on/demandware.static/-/Sites-pandora-master-catalog/default/dwbb259ca6/productimages/singlepackshot/",LEFT(A1016,FIND("-",A1016&amp;"-")-1),"_RGB.png"))),"https://us.pandora.net/on/demandware.static/-/Sites-pandora-master-catalog/default/dwbb259ca6/productimages/singlepackshot/192391C01_RGB.png")</f>
        <v>https://us.pandora.net/on/demandware.static/-/Sites-pandora-master-catalog/default/dwbb259ca6/productimages/singlepackshot/192391C01_RGB.png</v>
      </c>
    </row>
    <row r="1017" spans="1:4" x14ac:dyDescent="0.25">
      <c r="A1017" s="3" t="s">
        <v>1019</v>
      </c>
      <c r="B1017" s="4">
        <v>69</v>
      </c>
      <c r="C1017" s="3" t="str">
        <f ca="1">IFERROR(ROWSDUMMYFUNCTION(IF(A1017="","",IFERROR(IMAGE(CONCATENATE("https://us.pandora.net/on/demandware.static/-/Sites-pandora-master-catalog/default/dwbb259ca6/productimages/singlepackshot/",LEFT(A1017,FIND("-",A1017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17" s="5" t="str">
        <f ca="1">IFERROR(ROWSDUMMYFUNCTION(IF(A1017="","",CONCATENATE("https://us.pandora.net/on/demandware.static/-/Sites-pandora-master-catalog/default/dwbb259ca6/productimages/singlepackshot/",LEFT(A1017,FIND("-",A1017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18" spans="1:4" x14ac:dyDescent="0.25">
      <c r="A1018" s="3" t="s">
        <v>1020</v>
      </c>
      <c r="B1018" s="4">
        <v>69</v>
      </c>
      <c r="C1018" s="3" t="str">
        <f ca="1">IFERROR(ROWSDUMMYFUNCTION(IF(A1018="","",IFERROR(IMAGE(CONCATENATE("https://us.pandora.net/on/demandware.static/-/Sites-pandora-master-catalog/default/dwbb259ca6/productimages/singlepackshot/",LEFT(A1018,FIND("-",A1018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18" s="5" t="str">
        <f ca="1">IFERROR(ROWSDUMMYFUNCTION(IF(A1018="","",CONCATENATE("https://us.pandora.net/on/demandware.static/-/Sites-pandora-master-catalog/default/dwbb259ca6/productimages/singlepackshot/",LEFT(A1018,FIND("-",A1018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19" spans="1:4" x14ac:dyDescent="0.25">
      <c r="A1019" s="3" t="s">
        <v>1021</v>
      </c>
      <c r="B1019" s="4">
        <v>69</v>
      </c>
      <c r="C1019" s="3" t="str">
        <f ca="1">IFERROR(ROWSDUMMYFUNCTION(IF(A1019="","",IFERROR(IMAGE(CONCATENATE("https://us.pandora.net/on/demandware.static/-/Sites-pandora-master-catalog/default/dwbb259ca6/productimages/singlepackshot/",LEFT(A1019,FIND("-",A1019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19" s="5" t="str">
        <f ca="1">IFERROR(ROWSDUMMYFUNCTION(IF(A1019="","",CONCATENATE("https://us.pandora.net/on/demandware.static/-/Sites-pandora-master-catalog/default/dwbb259ca6/productimages/singlepackshot/",LEFT(A1019,FIND("-",A1019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20" spans="1:4" x14ac:dyDescent="0.25">
      <c r="A1020" s="3" t="s">
        <v>1022</v>
      </c>
      <c r="B1020" s="4">
        <v>69</v>
      </c>
      <c r="C1020" s="3" t="str">
        <f ca="1">IFERROR(ROWSDUMMYFUNCTION(IF(A1020="","",IFERROR(IMAGE(CONCATENATE("https://us.pandora.net/on/demandware.static/-/Sites-pandora-master-catalog/default/dwbb259ca6/productimages/singlepackshot/",LEFT(A1020,FIND("-",A1020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20" s="5" t="str">
        <f ca="1">IFERROR(ROWSDUMMYFUNCTION(IF(A1020="","",CONCATENATE("https://us.pandora.net/on/demandware.static/-/Sites-pandora-master-catalog/default/dwbb259ca6/productimages/singlepackshot/",LEFT(A1020,FIND("-",A1020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21" spans="1:4" x14ac:dyDescent="0.25">
      <c r="A1021" s="3" t="s">
        <v>1023</v>
      </c>
      <c r="B1021" s="4">
        <v>69</v>
      </c>
      <c r="C1021" s="3" t="str">
        <f ca="1">IFERROR(ROWSDUMMYFUNCTION(IF(A1021="","",IFERROR(IMAGE(CONCATENATE("https://us.pandora.net/on/demandware.static/-/Sites-pandora-master-catalog/default/dwbb259ca6/productimages/singlepackshot/",LEFT(A1021,FIND("-",A1021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21" s="5" t="str">
        <f ca="1">IFERROR(ROWSDUMMYFUNCTION(IF(A1021="","",CONCATENATE("https://us.pandora.net/on/demandware.static/-/Sites-pandora-master-catalog/default/dwbb259ca6/productimages/singlepackshot/",LEFT(A1021,FIND("-",A1021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22" spans="1:4" x14ac:dyDescent="0.25">
      <c r="A1022" s="3" t="s">
        <v>1024</v>
      </c>
      <c r="B1022" s="4">
        <v>69</v>
      </c>
      <c r="C1022" s="3" t="str">
        <f ca="1">IFERROR(ROWSDUMMYFUNCTION(IF(A1022="","",IFERROR(IMAGE(CONCATENATE("https://us.pandora.net/on/demandware.static/-/Sites-pandora-master-catalog/default/dwbb259ca6/productimages/singlepackshot/",LEFT(A1022,FIND("-",A1022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22" s="5" t="str">
        <f ca="1">IFERROR(ROWSDUMMYFUNCTION(IF(A1022="","",CONCATENATE("https://us.pandora.net/on/demandware.static/-/Sites-pandora-master-catalog/default/dwbb259ca6/productimages/singlepackshot/",LEFT(A1022,FIND("-",A1022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23" spans="1:4" x14ac:dyDescent="0.25">
      <c r="A1023" s="3" t="s">
        <v>1025</v>
      </c>
      <c r="B1023" s="4">
        <v>69</v>
      </c>
      <c r="C1023" s="3" t="str">
        <f ca="1">IFERROR(ROWSDUMMYFUNCTION(IF(A1023="","",IFERROR(IMAGE(CONCATENATE("https://us.pandora.net/on/demandware.static/-/Sites-pandora-master-catalog/default/dwbb259ca6/productimages/singlepackshot/",LEFT(A1023,FIND("-",A1023&amp;"-")-1),"_RGB.png")),""))),"{""url"":""https://us.pandora.net/on/demandware.static/-/Sites-pandora-master-catalog/default/dwbb259ca6/productimages/singlepackshot/192392C01_RGB.png"",""mode"":1}")</f>
        <v>{"url":"https://us.pandora.net/on/demandware.static/-/Sites-pandora-master-catalog/default/dwbb259ca6/productimages/singlepackshot/192392C01_RGB.png","mode":1}</v>
      </c>
      <c r="D1023" s="5" t="str">
        <f ca="1">IFERROR(ROWSDUMMYFUNCTION(IF(A1023="","",CONCATENATE("https://us.pandora.net/on/demandware.static/-/Sites-pandora-master-catalog/default/dwbb259ca6/productimages/singlepackshot/",LEFT(A1023,FIND("-",A1023&amp;"-")-1),"_RGB.png"))),"https://us.pandora.net/on/demandware.static/-/Sites-pandora-master-catalog/default/dwbb259ca6/productimages/singlepackshot/192392C01_RGB.png")</f>
        <v>https://us.pandora.net/on/demandware.static/-/Sites-pandora-master-catalog/default/dwbb259ca6/productimages/singlepackshot/192392C01_RGB.png</v>
      </c>
    </row>
    <row r="1024" spans="1:4" x14ac:dyDescent="0.25">
      <c r="A1024" s="3" t="s">
        <v>1026</v>
      </c>
      <c r="B1024" s="4">
        <v>35</v>
      </c>
      <c r="C1024" s="3" t="str">
        <f ca="1">IFERROR(ROWSDUMMYFUNCTION(IF(A1024="","",IFERROR(IMAGE(CONCATENATE("https://us.pandora.net/on/demandware.static/-/Sites-pandora-master-catalog/default/dwbb259ca6/productimages/singlepackshot/",LEFT(A1024,FIND("-",A1024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24" s="5" t="str">
        <f ca="1">IFERROR(ROWSDUMMYFUNCTION(IF(A1024="","",CONCATENATE("https://us.pandora.net/on/demandware.static/-/Sites-pandora-master-catalog/default/dwbb259ca6/productimages/singlepackshot/",LEFT(A1024,FIND("-",A1024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25" spans="1:4" x14ac:dyDescent="0.25">
      <c r="A1025" s="3" t="s">
        <v>1027</v>
      </c>
      <c r="B1025" s="4">
        <v>35</v>
      </c>
      <c r="C1025" s="3" t="str">
        <f ca="1">IFERROR(ROWSDUMMYFUNCTION(IF(A1025="","",IFERROR(IMAGE(CONCATENATE("https://us.pandora.net/on/demandware.static/-/Sites-pandora-master-catalog/default/dwbb259ca6/productimages/singlepackshot/",LEFT(A1025,FIND("-",A1025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25" s="5" t="str">
        <f ca="1">IFERROR(ROWSDUMMYFUNCTION(IF(A1025="","",CONCATENATE("https://us.pandora.net/on/demandware.static/-/Sites-pandora-master-catalog/default/dwbb259ca6/productimages/singlepackshot/",LEFT(A1025,FIND("-",A1025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26" spans="1:4" x14ac:dyDescent="0.25">
      <c r="A1026" s="3" t="s">
        <v>1028</v>
      </c>
      <c r="B1026" s="4">
        <v>35</v>
      </c>
      <c r="C1026" s="3" t="str">
        <f ca="1">IFERROR(ROWSDUMMYFUNCTION(IF(A1026="","",IFERROR(IMAGE(CONCATENATE("https://us.pandora.net/on/demandware.static/-/Sites-pandora-master-catalog/default/dwbb259ca6/productimages/singlepackshot/",LEFT(A1026,FIND("-",A1026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26" s="5" t="str">
        <f ca="1">IFERROR(ROWSDUMMYFUNCTION(IF(A1026="","",CONCATENATE("https://us.pandora.net/on/demandware.static/-/Sites-pandora-master-catalog/default/dwbb259ca6/productimages/singlepackshot/",LEFT(A1026,FIND("-",A1026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27" spans="1:4" x14ac:dyDescent="0.25">
      <c r="A1027" s="3" t="s">
        <v>1029</v>
      </c>
      <c r="B1027" s="4">
        <v>35</v>
      </c>
      <c r="C1027" s="3" t="str">
        <f ca="1">IFERROR(ROWSDUMMYFUNCTION(IF(A1027="","",IFERROR(IMAGE(CONCATENATE("https://us.pandora.net/on/demandware.static/-/Sites-pandora-master-catalog/default/dwbb259ca6/productimages/singlepackshot/",LEFT(A1027,FIND("-",A1027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27" s="5" t="str">
        <f ca="1">IFERROR(ROWSDUMMYFUNCTION(IF(A1027="","",CONCATENATE("https://us.pandora.net/on/demandware.static/-/Sites-pandora-master-catalog/default/dwbb259ca6/productimages/singlepackshot/",LEFT(A1027,FIND("-",A1027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28" spans="1:4" x14ac:dyDescent="0.25">
      <c r="A1028" s="3" t="s">
        <v>1030</v>
      </c>
      <c r="B1028" s="4">
        <v>35</v>
      </c>
      <c r="C1028" s="3" t="str">
        <f ca="1">IFERROR(ROWSDUMMYFUNCTION(IF(A1028="","",IFERROR(IMAGE(CONCATENATE("https://us.pandora.net/on/demandware.static/-/Sites-pandora-master-catalog/default/dwbb259ca6/productimages/singlepackshot/",LEFT(A1028,FIND("-",A1028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28" s="5" t="str">
        <f ca="1">IFERROR(ROWSDUMMYFUNCTION(IF(A1028="","",CONCATENATE("https://us.pandora.net/on/demandware.static/-/Sites-pandora-master-catalog/default/dwbb259ca6/productimages/singlepackshot/",LEFT(A1028,FIND("-",A1028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29" spans="1:4" x14ac:dyDescent="0.25">
      <c r="A1029" s="3" t="s">
        <v>1031</v>
      </c>
      <c r="B1029" s="4">
        <v>35</v>
      </c>
      <c r="C1029" s="3" t="str">
        <f ca="1">IFERROR(ROWSDUMMYFUNCTION(IF(A1029="","",IFERROR(IMAGE(CONCATENATE("https://us.pandora.net/on/demandware.static/-/Sites-pandora-master-catalog/default/dwbb259ca6/productimages/singlepackshot/",LEFT(A1029,FIND("-",A1029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29" s="5" t="str">
        <f ca="1">IFERROR(ROWSDUMMYFUNCTION(IF(A1029="","",CONCATENATE("https://us.pandora.net/on/demandware.static/-/Sites-pandora-master-catalog/default/dwbb259ca6/productimages/singlepackshot/",LEFT(A1029,FIND("-",A1029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30" spans="1:4" x14ac:dyDescent="0.25">
      <c r="A1030" s="3" t="s">
        <v>1032</v>
      </c>
      <c r="B1030" s="4">
        <v>35</v>
      </c>
      <c r="C1030" s="3" t="str">
        <f ca="1">IFERROR(ROWSDUMMYFUNCTION(IF(A1030="","",IFERROR(IMAGE(CONCATENATE("https://us.pandora.net/on/demandware.static/-/Sites-pandora-master-catalog/default/dwbb259ca6/productimages/singlepackshot/",LEFT(A1030,FIND("-",A1030&amp;"-")-1),"_RGB.png")),""))),"{""url"":""https://us.pandora.net/on/demandware.static/-/Sites-pandora-master-catalog/default/dwbb259ca6/productimages/singlepackshot/192394C01_RGB.png"",""mode"":1}")</f>
        <v>{"url":"https://us.pandora.net/on/demandware.static/-/Sites-pandora-master-catalog/default/dwbb259ca6/productimages/singlepackshot/192394C01_RGB.png","mode":1}</v>
      </c>
      <c r="D1030" s="5" t="str">
        <f ca="1">IFERROR(ROWSDUMMYFUNCTION(IF(A1030="","",CONCATENATE("https://us.pandora.net/on/demandware.static/-/Sites-pandora-master-catalog/default/dwbb259ca6/productimages/singlepackshot/",LEFT(A1030,FIND("-",A1030&amp;"-")-1),"_RGB.png"))),"https://us.pandora.net/on/demandware.static/-/Sites-pandora-master-catalog/default/dwbb259ca6/productimages/singlepackshot/192394C01_RGB.png")</f>
        <v>https://us.pandora.net/on/demandware.static/-/Sites-pandora-master-catalog/default/dwbb259ca6/productimages/singlepackshot/192394C01_RGB.png</v>
      </c>
    </row>
    <row r="1031" spans="1:4" x14ac:dyDescent="0.25">
      <c r="A1031" s="3" t="s">
        <v>1033</v>
      </c>
      <c r="B1031" s="4">
        <v>39</v>
      </c>
      <c r="C1031" s="3" t="str">
        <f ca="1">IFERROR(ROWSDUMMYFUNCTION(IF(A1031="","",IFERROR(IMAGE(CONCATENATE("https://us.pandora.net/on/demandware.static/-/Sites-pandora-master-catalog/default/dwbb259ca6/productimages/singlepackshot/",LEFT(A1031,FIND("-",A1031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1" s="5" t="str">
        <f ca="1">IFERROR(ROWSDUMMYFUNCTION(IF(A1031="","",CONCATENATE("https://us.pandora.net/on/demandware.static/-/Sites-pandora-master-catalog/default/dwbb259ca6/productimages/singlepackshot/",LEFT(A1031,FIND("-",A1031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2" spans="1:4" x14ac:dyDescent="0.25">
      <c r="A1032" s="3" t="s">
        <v>1034</v>
      </c>
      <c r="B1032" s="4">
        <v>39</v>
      </c>
      <c r="C1032" s="3" t="str">
        <f ca="1">IFERROR(ROWSDUMMYFUNCTION(IF(A1032="","",IFERROR(IMAGE(CONCATENATE("https://us.pandora.net/on/demandware.static/-/Sites-pandora-master-catalog/default/dwbb259ca6/productimages/singlepackshot/",LEFT(A1032,FIND("-",A1032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2" s="5" t="str">
        <f ca="1">IFERROR(ROWSDUMMYFUNCTION(IF(A1032="","",CONCATENATE("https://us.pandora.net/on/demandware.static/-/Sites-pandora-master-catalog/default/dwbb259ca6/productimages/singlepackshot/",LEFT(A1032,FIND("-",A1032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3" spans="1:4" x14ac:dyDescent="0.25">
      <c r="A1033" s="3" t="s">
        <v>1035</v>
      </c>
      <c r="B1033" s="4">
        <v>39</v>
      </c>
      <c r="C1033" s="3" t="str">
        <f ca="1">IFERROR(ROWSDUMMYFUNCTION(IF(A1033="","",IFERROR(IMAGE(CONCATENATE("https://us.pandora.net/on/demandware.static/-/Sites-pandora-master-catalog/default/dwbb259ca6/productimages/singlepackshot/",LEFT(A1033,FIND("-",A1033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3" s="5" t="str">
        <f ca="1">IFERROR(ROWSDUMMYFUNCTION(IF(A1033="","",CONCATENATE("https://us.pandora.net/on/demandware.static/-/Sites-pandora-master-catalog/default/dwbb259ca6/productimages/singlepackshot/",LEFT(A1033,FIND("-",A1033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4" spans="1:4" x14ac:dyDescent="0.25">
      <c r="A1034" s="3" t="s">
        <v>1036</v>
      </c>
      <c r="B1034" s="4">
        <v>39</v>
      </c>
      <c r="C1034" s="3" t="str">
        <f ca="1">IFERROR(ROWSDUMMYFUNCTION(IF(A1034="","",IFERROR(IMAGE(CONCATENATE("https://us.pandora.net/on/demandware.static/-/Sites-pandora-master-catalog/default/dwbb259ca6/productimages/singlepackshot/",LEFT(A1034,FIND("-",A1034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4" s="5" t="str">
        <f ca="1">IFERROR(ROWSDUMMYFUNCTION(IF(A1034="","",CONCATENATE("https://us.pandora.net/on/demandware.static/-/Sites-pandora-master-catalog/default/dwbb259ca6/productimages/singlepackshot/",LEFT(A1034,FIND("-",A1034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5" spans="1:4" x14ac:dyDescent="0.25">
      <c r="A1035" s="3" t="s">
        <v>1037</v>
      </c>
      <c r="B1035" s="4">
        <v>39</v>
      </c>
      <c r="C1035" s="3" t="str">
        <f ca="1">IFERROR(ROWSDUMMYFUNCTION(IF(A1035="","",IFERROR(IMAGE(CONCATENATE("https://us.pandora.net/on/demandware.static/-/Sites-pandora-master-catalog/default/dwbb259ca6/productimages/singlepackshot/",LEFT(A1035,FIND("-",A1035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5" s="5" t="str">
        <f ca="1">IFERROR(ROWSDUMMYFUNCTION(IF(A1035="","",CONCATENATE("https://us.pandora.net/on/demandware.static/-/Sites-pandora-master-catalog/default/dwbb259ca6/productimages/singlepackshot/",LEFT(A1035,FIND("-",A1035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6" spans="1:4" x14ac:dyDescent="0.25">
      <c r="A1036" s="3" t="s">
        <v>1038</v>
      </c>
      <c r="B1036" s="4">
        <v>39</v>
      </c>
      <c r="C1036" s="3" t="str">
        <f ca="1">IFERROR(ROWSDUMMYFUNCTION(IF(A1036="","",IFERROR(IMAGE(CONCATENATE("https://us.pandora.net/on/demandware.static/-/Sites-pandora-master-catalog/default/dwbb259ca6/productimages/singlepackshot/",LEFT(A1036,FIND("-",A1036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6" s="5" t="str">
        <f ca="1">IFERROR(ROWSDUMMYFUNCTION(IF(A1036="","",CONCATENATE("https://us.pandora.net/on/demandware.static/-/Sites-pandora-master-catalog/default/dwbb259ca6/productimages/singlepackshot/",LEFT(A1036,FIND("-",A1036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7" spans="1:4" x14ac:dyDescent="0.25">
      <c r="A1037" s="3" t="s">
        <v>1039</v>
      </c>
      <c r="B1037" s="4">
        <v>39</v>
      </c>
      <c r="C1037" s="3" t="str">
        <f ca="1">IFERROR(ROWSDUMMYFUNCTION(IF(A1037="","",IFERROR(IMAGE(CONCATENATE("https://us.pandora.net/on/demandware.static/-/Sites-pandora-master-catalog/default/dwbb259ca6/productimages/singlepackshot/",LEFT(A1037,FIND("-",A1037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7" s="5" t="str">
        <f ca="1">IFERROR(ROWSDUMMYFUNCTION(IF(A1037="","",CONCATENATE("https://us.pandora.net/on/demandware.static/-/Sites-pandora-master-catalog/default/dwbb259ca6/productimages/singlepackshot/",LEFT(A1037,FIND("-",A1037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8" spans="1:4" x14ac:dyDescent="0.25">
      <c r="A1038" s="3" t="s">
        <v>1040</v>
      </c>
      <c r="B1038" s="4">
        <v>39</v>
      </c>
      <c r="C1038" s="3" t="str">
        <f ca="1">IFERROR(ROWSDUMMYFUNCTION(IF(A1038="","",IFERROR(IMAGE(CONCATENATE("https://us.pandora.net/on/demandware.static/-/Sites-pandora-master-catalog/default/dwbb259ca6/productimages/singlepackshot/",LEFT(A1038,FIND("-",A1038&amp;"-")-1),"_RGB.png")),""))),"{""url"":""https://us.pandora.net/on/demandware.static/-/Sites-pandora-master-catalog/default/dwbb259ca6/productimages/singlepackshot/192528C02_RGB.png"",""mode"":1}")</f>
        <v>{"url":"https://us.pandora.net/on/demandware.static/-/Sites-pandora-master-catalog/default/dwbb259ca6/productimages/singlepackshot/192528C02_RGB.png","mode":1}</v>
      </c>
      <c r="D1038" s="5" t="str">
        <f ca="1">IFERROR(ROWSDUMMYFUNCTION(IF(A1038="","",CONCATENATE("https://us.pandora.net/on/demandware.static/-/Sites-pandora-master-catalog/default/dwbb259ca6/productimages/singlepackshot/",LEFT(A1038,FIND("-",A1038&amp;"-")-1),"_RGB.png"))),"https://us.pandora.net/on/demandware.static/-/Sites-pandora-master-catalog/default/dwbb259ca6/productimages/singlepackshot/192528C02_RGB.png")</f>
        <v>https://us.pandora.net/on/demandware.static/-/Sites-pandora-master-catalog/default/dwbb259ca6/productimages/singlepackshot/192528C02_RGB.png</v>
      </c>
    </row>
    <row r="1039" spans="1:4" x14ac:dyDescent="0.25">
      <c r="A1039" s="3" t="s">
        <v>1041</v>
      </c>
      <c r="B1039" s="4">
        <v>39</v>
      </c>
      <c r="C1039" s="3" t="str">
        <f ca="1">IFERROR(ROWSDUMMYFUNCTION(IF(A1039="","",IFERROR(IMAGE(CONCATENATE("https://us.pandora.net/on/demandware.static/-/Sites-pandora-master-catalog/default/dwbb259ca6/productimages/singlepackshot/",LEFT(A1039,FIND("-",A1039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39" s="5" t="str">
        <f ca="1">IFERROR(ROWSDUMMYFUNCTION(IF(A1039="","",CONCATENATE("https://us.pandora.net/on/demandware.static/-/Sites-pandora-master-catalog/default/dwbb259ca6/productimages/singlepackshot/",LEFT(A1039,FIND("-",A1039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0" spans="1:4" x14ac:dyDescent="0.25">
      <c r="A1040" s="3" t="s">
        <v>1042</v>
      </c>
      <c r="B1040" s="4">
        <v>39</v>
      </c>
      <c r="C1040" s="3" t="str">
        <f ca="1">IFERROR(ROWSDUMMYFUNCTION(IF(A1040="","",IFERROR(IMAGE(CONCATENATE("https://us.pandora.net/on/demandware.static/-/Sites-pandora-master-catalog/default/dwbb259ca6/productimages/singlepackshot/",LEFT(A1040,FIND("-",A1040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40" s="5" t="str">
        <f ca="1">IFERROR(ROWSDUMMYFUNCTION(IF(A1040="","",CONCATENATE("https://us.pandora.net/on/demandware.static/-/Sites-pandora-master-catalog/default/dwbb259ca6/productimages/singlepackshot/",LEFT(A1040,FIND("-",A1040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1" spans="1:4" x14ac:dyDescent="0.25">
      <c r="A1041" s="3" t="s">
        <v>1043</v>
      </c>
      <c r="B1041" s="4">
        <v>39</v>
      </c>
      <c r="C1041" s="3" t="str">
        <f ca="1">IFERROR(ROWSDUMMYFUNCTION(IF(A1041="","",IFERROR(IMAGE(CONCATENATE("https://us.pandora.net/on/demandware.static/-/Sites-pandora-master-catalog/default/dwbb259ca6/productimages/singlepackshot/",LEFT(A1041,FIND("-",A1041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41" s="5" t="str">
        <f ca="1">IFERROR(ROWSDUMMYFUNCTION(IF(A1041="","",CONCATENATE("https://us.pandora.net/on/demandware.static/-/Sites-pandora-master-catalog/default/dwbb259ca6/productimages/singlepackshot/",LEFT(A1041,FIND("-",A1041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2" spans="1:4" x14ac:dyDescent="0.25">
      <c r="A1042" s="3" t="s">
        <v>1044</v>
      </c>
      <c r="B1042" s="4">
        <v>39</v>
      </c>
      <c r="C1042" s="3" t="str">
        <f ca="1">IFERROR(ROWSDUMMYFUNCTION(IF(A1042="","",IFERROR(IMAGE(CONCATENATE("https://us.pandora.net/on/demandware.static/-/Sites-pandora-master-catalog/default/dwbb259ca6/productimages/singlepackshot/",LEFT(A1042,FIND("-",A1042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42" s="5" t="str">
        <f ca="1">IFERROR(ROWSDUMMYFUNCTION(IF(A1042="","",CONCATENATE("https://us.pandora.net/on/demandware.static/-/Sites-pandora-master-catalog/default/dwbb259ca6/productimages/singlepackshot/",LEFT(A1042,FIND("-",A1042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3" spans="1:4" x14ac:dyDescent="0.25">
      <c r="A1043" s="3" t="s">
        <v>1045</v>
      </c>
      <c r="B1043" s="4">
        <v>39</v>
      </c>
      <c r="C1043" s="3" t="str">
        <f ca="1">IFERROR(ROWSDUMMYFUNCTION(IF(A1043="","",IFERROR(IMAGE(CONCATENATE("https://us.pandora.net/on/demandware.static/-/Sites-pandora-master-catalog/default/dwbb259ca6/productimages/singlepackshot/",LEFT(A1043,FIND("-",A1043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43" s="5" t="str">
        <f ca="1">IFERROR(ROWSDUMMYFUNCTION(IF(A1043="","",CONCATENATE("https://us.pandora.net/on/demandware.static/-/Sites-pandora-master-catalog/default/dwbb259ca6/productimages/singlepackshot/",LEFT(A1043,FIND("-",A1043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4" spans="1:4" x14ac:dyDescent="0.25">
      <c r="A1044" s="3" t="s">
        <v>1046</v>
      </c>
      <c r="B1044" s="4">
        <v>39</v>
      </c>
      <c r="C1044" s="3" t="str">
        <f ca="1">IFERROR(ROWSDUMMYFUNCTION(IF(A1044="","",IFERROR(IMAGE(CONCATENATE("https://us.pandora.net/on/demandware.static/-/Sites-pandora-master-catalog/default/dwbb259ca6/productimages/singlepackshot/",LEFT(A1044,FIND("-",A1044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44" s="5" t="str">
        <f ca="1">IFERROR(ROWSDUMMYFUNCTION(IF(A1044="","",CONCATENATE("https://us.pandora.net/on/demandware.static/-/Sites-pandora-master-catalog/default/dwbb259ca6/productimages/singlepackshot/",LEFT(A1044,FIND("-",A1044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5" spans="1:4" x14ac:dyDescent="0.25">
      <c r="A1045" s="3" t="s">
        <v>1047</v>
      </c>
      <c r="B1045" s="4">
        <v>39</v>
      </c>
      <c r="C1045" s="3" t="str">
        <f ca="1">IFERROR(ROWSDUMMYFUNCTION(IF(A1045="","",IFERROR(IMAGE(CONCATENATE("https://us.pandora.net/on/demandware.static/-/Sites-pandora-master-catalog/default/dwbb259ca6/productimages/singlepackshot/",LEFT(A1045,FIND("-",A1045&amp;"-")-1),"_RGB.png")),""))),"{""url"":""https://us.pandora.net/on/demandware.static/-/Sites-pandora-master-catalog/default/dwbb259ca6/productimages/singlepackshot/192539C01_RGB.png"",""mode"":1}")</f>
        <v>{"url":"https://us.pandora.net/on/demandware.static/-/Sites-pandora-master-catalog/default/dwbb259ca6/productimages/singlepackshot/192539C01_RGB.png","mode":1}</v>
      </c>
      <c r="D1045" s="5" t="str">
        <f ca="1">IFERROR(ROWSDUMMYFUNCTION(IF(A1045="","",CONCATENATE("https://us.pandora.net/on/demandware.static/-/Sites-pandora-master-catalog/default/dwbb259ca6/productimages/singlepackshot/",LEFT(A1045,FIND("-",A1045&amp;"-")-1),"_RGB.png"))),"https://us.pandora.net/on/demandware.static/-/Sites-pandora-master-catalog/default/dwbb259ca6/productimages/singlepackshot/192539C01_RGB.png")</f>
        <v>https://us.pandora.net/on/demandware.static/-/Sites-pandora-master-catalog/default/dwbb259ca6/productimages/singlepackshot/192539C01_RGB.png</v>
      </c>
    </row>
    <row r="1046" spans="1:4" x14ac:dyDescent="0.25">
      <c r="A1046" s="3" t="s">
        <v>1048</v>
      </c>
      <c r="B1046" s="4">
        <v>59</v>
      </c>
      <c r="C1046" s="3" t="str">
        <f ca="1">IFERROR(ROWSDUMMYFUNCTION(IF(A1046="","",IFERROR(IMAGE(CONCATENATE("https://us.pandora.net/on/demandware.static/-/Sites-pandora-master-catalog/default/dwbb259ca6/productimages/singlepackshot/",LEFT(A1046,FIND("-",A1046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46" s="5" t="str">
        <f ca="1">IFERROR(ROWSDUMMYFUNCTION(IF(A1046="","",CONCATENATE("https://us.pandora.net/on/demandware.static/-/Sites-pandora-master-catalog/default/dwbb259ca6/productimages/singlepackshot/",LEFT(A1046,FIND("-",A1046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47" spans="1:4" x14ac:dyDescent="0.25">
      <c r="A1047" s="3" t="s">
        <v>1049</v>
      </c>
      <c r="B1047" s="4">
        <v>59</v>
      </c>
      <c r="C1047" s="3" t="str">
        <f ca="1">IFERROR(ROWSDUMMYFUNCTION(IF(A1047="","",IFERROR(IMAGE(CONCATENATE("https://us.pandora.net/on/demandware.static/-/Sites-pandora-master-catalog/default/dwbb259ca6/productimages/singlepackshot/",LEFT(A1047,FIND("-",A1047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47" s="5" t="str">
        <f ca="1">IFERROR(ROWSDUMMYFUNCTION(IF(A1047="","",CONCATENATE("https://us.pandora.net/on/demandware.static/-/Sites-pandora-master-catalog/default/dwbb259ca6/productimages/singlepackshot/",LEFT(A1047,FIND("-",A1047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48" spans="1:4" x14ac:dyDescent="0.25">
      <c r="A1048" s="3" t="s">
        <v>1050</v>
      </c>
      <c r="B1048" s="4">
        <v>59</v>
      </c>
      <c r="C1048" s="3" t="str">
        <f ca="1">IFERROR(ROWSDUMMYFUNCTION(IF(A1048="","",IFERROR(IMAGE(CONCATENATE("https://us.pandora.net/on/demandware.static/-/Sites-pandora-master-catalog/default/dwbb259ca6/productimages/singlepackshot/",LEFT(A1048,FIND("-",A1048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48" s="5" t="str">
        <f ca="1">IFERROR(ROWSDUMMYFUNCTION(IF(A1048="","",CONCATENATE("https://us.pandora.net/on/demandware.static/-/Sites-pandora-master-catalog/default/dwbb259ca6/productimages/singlepackshot/",LEFT(A1048,FIND("-",A1048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49" spans="1:4" x14ac:dyDescent="0.25">
      <c r="A1049" s="3" t="s">
        <v>1051</v>
      </c>
      <c r="B1049" s="4">
        <v>59</v>
      </c>
      <c r="C1049" s="3" t="str">
        <f ca="1">IFERROR(ROWSDUMMYFUNCTION(IF(A1049="","",IFERROR(IMAGE(CONCATENATE("https://us.pandora.net/on/demandware.static/-/Sites-pandora-master-catalog/default/dwbb259ca6/productimages/singlepackshot/",LEFT(A1049,FIND("-",A1049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49" s="5" t="str">
        <f ca="1">IFERROR(ROWSDUMMYFUNCTION(IF(A1049="","",CONCATENATE("https://us.pandora.net/on/demandware.static/-/Sites-pandora-master-catalog/default/dwbb259ca6/productimages/singlepackshot/",LEFT(A1049,FIND("-",A1049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50" spans="1:4" x14ac:dyDescent="0.25">
      <c r="A1050" s="3" t="s">
        <v>1052</v>
      </c>
      <c r="B1050" s="4">
        <v>59</v>
      </c>
      <c r="C1050" s="3" t="str">
        <f ca="1">IFERROR(ROWSDUMMYFUNCTION(IF(A1050="","",IFERROR(IMAGE(CONCATENATE("https://us.pandora.net/on/demandware.static/-/Sites-pandora-master-catalog/default/dwbb259ca6/productimages/singlepackshot/",LEFT(A1050,FIND("-",A1050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50" s="5" t="str">
        <f ca="1">IFERROR(ROWSDUMMYFUNCTION(IF(A1050="","",CONCATENATE("https://us.pandora.net/on/demandware.static/-/Sites-pandora-master-catalog/default/dwbb259ca6/productimages/singlepackshot/",LEFT(A1050,FIND("-",A1050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51" spans="1:4" x14ac:dyDescent="0.25">
      <c r="A1051" s="3" t="s">
        <v>1053</v>
      </c>
      <c r="B1051" s="4">
        <v>59</v>
      </c>
      <c r="C1051" s="3" t="str">
        <f ca="1">IFERROR(ROWSDUMMYFUNCTION(IF(A1051="","",IFERROR(IMAGE(CONCATENATE("https://us.pandora.net/on/demandware.static/-/Sites-pandora-master-catalog/default/dwbb259ca6/productimages/singlepackshot/",LEFT(A1051,FIND("-",A1051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51" s="5" t="str">
        <f ca="1">IFERROR(ROWSDUMMYFUNCTION(IF(A1051="","",CONCATENATE("https://us.pandora.net/on/demandware.static/-/Sites-pandora-master-catalog/default/dwbb259ca6/productimages/singlepackshot/",LEFT(A1051,FIND("-",A1051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52" spans="1:4" x14ac:dyDescent="0.25">
      <c r="A1052" s="3" t="s">
        <v>1054</v>
      </c>
      <c r="B1052" s="4">
        <v>59</v>
      </c>
      <c r="C1052" s="3" t="str">
        <f ca="1">IFERROR(ROWSDUMMYFUNCTION(IF(A1052="","",IFERROR(IMAGE(CONCATENATE("https://us.pandora.net/on/demandware.static/-/Sites-pandora-master-catalog/default/dwbb259ca6/productimages/singlepackshot/",LEFT(A1052,FIND("-",A1052&amp;"-")-1),"_RGB.png")),""))),"{""url"":""https://us.pandora.net/on/demandware.static/-/Sites-pandora-master-catalog/default/dwbb259ca6/productimages/singlepackshot/192566C01_RGB.png"",""mode"":1}")</f>
        <v>{"url":"https://us.pandora.net/on/demandware.static/-/Sites-pandora-master-catalog/default/dwbb259ca6/productimages/singlepackshot/192566C01_RGB.png","mode":1}</v>
      </c>
      <c r="D1052" s="5" t="str">
        <f ca="1">IFERROR(ROWSDUMMYFUNCTION(IF(A1052="","",CONCATENATE("https://us.pandora.net/on/demandware.static/-/Sites-pandora-master-catalog/default/dwbb259ca6/productimages/singlepackshot/",LEFT(A1052,FIND("-",A1052&amp;"-")-1),"_RGB.png"))),"https://us.pandora.net/on/demandware.static/-/Sites-pandora-master-catalog/default/dwbb259ca6/productimages/singlepackshot/192566C01_RGB.png")</f>
        <v>https://us.pandora.net/on/demandware.static/-/Sites-pandora-master-catalog/default/dwbb259ca6/productimages/singlepackshot/192566C01_RGB.png</v>
      </c>
    </row>
    <row r="1053" spans="1:4" x14ac:dyDescent="0.25">
      <c r="A1053" s="3" t="s">
        <v>1055</v>
      </c>
      <c r="B1053" s="4">
        <v>89</v>
      </c>
      <c r="C1053" s="3" t="str">
        <f ca="1">IFERROR(ROWSDUMMYFUNCTION(IF(A1053="","",IFERROR(IMAGE(CONCATENATE("https://us.pandora.net/on/demandware.static/-/Sites-pandora-master-catalog/default/dwbb259ca6/productimages/singlepackshot/",LEFT(A1053,FIND("-",A1053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3" s="5" t="str">
        <f ca="1">IFERROR(ROWSDUMMYFUNCTION(IF(A1053="","",CONCATENATE("https://us.pandora.net/on/demandware.static/-/Sites-pandora-master-catalog/default/dwbb259ca6/productimages/singlepackshot/",LEFT(A1053,FIND("-",A1053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54" spans="1:4" x14ac:dyDescent="0.25">
      <c r="A1054" s="3" t="s">
        <v>1056</v>
      </c>
      <c r="B1054" s="4">
        <v>89</v>
      </c>
      <c r="C1054" s="3" t="str">
        <f ca="1">IFERROR(ROWSDUMMYFUNCTION(IF(A1054="","",IFERROR(IMAGE(CONCATENATE("https://us.pandora.net/on/demandware.static/-/Sites-pandora-master-catalog/default/dwbb259ca6/productimages/singlepackshot/",LEFT(A1054,FIND("-",A1054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4" s="5" t="str">
        <f ca="1">IFERROR(ROWSDUMMYFUNCTION(IF(A1054="","",CONCATENATE("https://us.pandora.net/on/demandware.static/-/Sites-pandora-master-catalog/default/dwbb259ca6/productimages/singlepackshot/",LEFT(A1054,FIND("-",A1054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55" spans="1:4" x14ac:dyDescent="0.25">
      <c r="A1055" s="3" t="s">
        <v>1057</v>
      </c>
      <c r="B1055" s="4">
        <v>89</v>
      </c>
      <c r="C1055" s="3" t="str">
        <f ca="1">IFERROR(ROWSDUMMYFUNCTION(IF(A1055="","",IFERROR(IMAGE(CONCATENATE("https://us.pandora.net/on/demandware.static/-/Sites-pandora-master-catalog/default/dwbb259ca6/productimages/singlepackshot/",LEFT(A1055,FIND("-",A1055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5" s="5" t="str">
        <f ca="1">IFERROR(ROWSDUMMYFUNCTION(IF(A1055="","",CONCATENATE("https://us.pandora.net/on/demandware.static/-/Sites-pandora-master-catalog/default/dwbb259ca6/productimages/singlepackshot/",LEFT(A1055,FIND("-",A1055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56" spans="1:4" x14ac:dyDescent="0.25">
      <c r="A1056" s="3" t="s">
        <v>1058</v>
      </c>
      <c r="B1056" s="4">
        <v>89</v>
      </c>
      <c r="C1056" s="3" t="str">
        <f ca="1">IFERROR(ROWSDUMMYFUNCTION(IF(A1056="","",IFERROR(IMAGE(CONCATENATE("https://us.pandora.net/on/demandware.static/-/Sites-pandora-master-catalog/default/dwbb259ca6/productimages/singlepackshot/",LEFT(A1056,FIND("-",A1056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6" s="5" t="str">
        <f ca="1">IFERROR(ROWSDUMMYFUNCTION(IF(A1056="","",CONCATENATE("https://us.pandora.net/on/demandware.static/-/Sites-pandora-master-catalog/default/dwbb259ca6/productimages/singlepackshot/",LEFT(A1056,FIND("-",A1056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57" spans="1:4" x14ac:dyDescent="0.25">
      <c r="A1057" s="3" t="s">
        <v>1059</v>
      </c>
      <c r="B1057" s="4">
        <v>89</v>
      </c>
      <c r="C1057" s="3" t="str">
        <f ca="1">IFERROR(ROWSDUMMYFUNCTION(IF(A1057="","",IFERROR(IMAGE(CONCATENATE("https://us.pandora.net/on/demandware.static/-/Sites-pandora-master-catalog/default/dwbb259ca6/productimages/singlepackshot/",LEFT(A1057,FIND("-",A1057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7" s="5" t="str">
        <f ca="1">IFERROR(ROWSDUMMYFUNCTION(IF(A1057="","",CONCATENATE("https://us.pandora.net/on/demandware.static/-/Sites-pandora-master-catalog/default/dwbb259ca6/productimages/singlepackshot/",LEFT(A1057,FIND("-",A1057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58" spans="1:4" x14ac:dyDescent="0.25">
      <c r="A1058" s="3" t="s">
        <v>1060</v>
      </c>
      <c r="B1058" s="4">
        <v>89</v>
      </c>
      <c r="C1058" s="3" t="str">
        <f ca="1">IFERROR(ROWSDUMMYFUNCTION(IF(A1058="","",IFERROR(IMAGE(CONCATENATE("https://us.pandora.net/on/demandware.static/-/Sites-pandora-master-catalog/default/dwbb259ca6/productimages/singlepackshot/",LEFT(A1058,FIND("-",A1058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8" s="5" t="str">
        <f ca="1">IFERROR(ROWSDUMMYFUNCTION(IF(A1058="","",CONCATENATE("https://us.pandora.net/on/demandware.static/-/Sites-pandora-master-catalog/default/dwbb259ca6/productimages/singlepackshot/",LEFT(A1058,FIND("-",A1058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59" spans="1:4" x14ac:dyDescent="0.25">
      <c r="A1059" s="3" t="s">
        <v>1061</v>
      </c>
      <c r="B1059" s="4">
        <v>89</v>
      </c>
      <c r="C1059" s="3" t="str">
        <f ca="1">IFERROR(ROWSDUMMYFUNCTION(IF(A1059="","",IFERROR(IMAGE(CONCATENATE("https://us.pandora.net/on/demandware.static/-/Sites-pandora-master-catalog/default/dwbb259ca6/productimages/singlepackshot/",LEFT(A1059,FIND("-",A1059&amp;"-")-1),"_RGB.png")),""))),"{""url"":""https://us.pandora.net/on/demandware.static/-/Sites-pandora-master-catalog/default/dwbb259ca6/productimages/singlepackshot/192611C01_RGB.png"",""mode"":1}")</f>
        <v>{"url":"https://us.pandora.net/on/demandware.static/-/Sites-pandora-master-catalog/default/dwbb259ca6/productimages/singlepackshot/192611C01_RGB.png","mode":1}</v>
      </c>
      <c r="D1059" s="5" t="str">
        <f ca="1">IFERROR(ROWSDUMMYFUNCTION(IF(A1059="","",CONCATENATE("https://us.pandora.net/on/demandware.static/-/Sites-pandora-master-catalog/default/dwbb259ca6/productimages/singlepackshot/",LEFT(A1059,FIND("-",A1059&amp;"-")-1),"_RGB.png"))),"https://us.pandora.net/on/demandware.static/-/Sites-pandora-master-catalog/default/dwbb259ca6/productimages/singlepackshot/192611C01_RGB.png")</f>
        <v>https://us.pandora.net/on/demandware.static/-/Sites-pandora-master-catalog/default/dwbb259ca6/productimages/singlepackshot/192611C01_RGB.png</v>
      </c>
    </row>
    <row r="1060" spans="1:4" x14ac:dyDescent="0.25">
      <c r="A1060" s="3" t="s">
        <v>1062</v>
      </c>
      <c r="B1060" s="4">
        <v>89</v>
      </c>
      <c r="C1060" s="3" t="str">
        <f ca="1">IFERROR(ROWSDUMMYFUNCTION(IF(A1060="","",IFERROR(IMAGE(CONCATENATE("https://us.pandora.net/on/demandware.static/-/Sites-pandora-master-catalog/default/dwbb259ca6/productimages/singlepackshot/",LEFT(A1060,FIND("-",A1060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0" s="5" t="str">
        <f ca="1">IFERROR(ROWSDUMMYFUNCTION(IF(A1060="","",CONCATENATE("https://us.pandora.net/on/demandware.static/-/Sites-pandora-master-catalog/default/dwbb259ca6/productimages/singlepackshot/",LEFT(A1060,FIND("-",A1060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1" spans="1:4" x14ac:dyDescent="0.25">
      <c r="A1061" s="3" t="s">
        <v>1063</v>
      </c>
      <c r="B1061" s="4">
        <v>89</v>
      </c>
      <c r="C1061" s="3" t="str">
        <f ca="1">IFERROR(ROWSDUMMYFUNCTION(IF(A1061="","",IFERROR(IMAGE(CONCATENATE("https://us.pandora.net/on/demandware.static/-/Sites-pandora-master-catalog/default/dwbb259ca6/productimages/singlepackshot/",LEFT(A1061,FIND("-",A1061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1" s="5" t="str">
        <f ca="1">IFERROR(ROWSDUMMYFUNCTION(IF(A1061="","",CONCATENATE("https://us.pandora.net/on/demandware.static/-/Sites-pandora-master-catalog/default/dwbb259ca6/productimages/singlepackshot/",LEFT(A1061,FIND("-",A1061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2" spans="1:4" x14ac:dyDescent="0.25">
      <c r="A1062" s="3" t="s">
        <v>1064</v>
      </c>
      <c r="B1062" s="4">
        <v>89</v>
      </c>
      <c r="C1062" s="3" t="str">
        <f ca="1">IFERROR(ROWSDUMMYFUNCTION(IF(A1062="","",IFERROR(IMAGE(CONCATENATE("https://us.pandora.net/on/demandware.static/-/Sites-pandora-master-catalog/default/dwbb259ca6/productimages/singlepackshot/",LEFT(A1062,FIND("-",A1062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2" s="5" t="str">
        <f ca="1">IFERROR(ROWSDUMMYFUNCTION(IF(A1062="","",CONCATENATE("https://us.pandora.net/on/demandware.static/-/Sites-pandora-master-catalog/default/dwbb259ca6/productimages/singlepackshot/",LEFT(A1062,FIND("-",A1062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3" spans="1:4" x14ac:dyDescent="0.25">
      <c r="A1063" s="3" t="s">
        <v>1065</v>
      </c>
      <c r="B1063" s="4">
        <v>89</v>
      </c>
      <c r="C1063" s="3" t="str">
        <f ca="1">IFERROR(ROWSDUMMYFUNCTION(IF(A1063="","",IFERROR(IMAGE(CONCATENATE("https://us.pandora.net/on/demandware.static/-/Sites-pandora-master-catalog/default/dwbb259ca6/productimages/singlepackshot/",LEFT(A1063,FIND("-",A1063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3" s="5" t="str">
        <f ca="1">IFERROR(ROWSDUMMYFUNCTION(IF(A1063="","",CONCATENATE("https://us.pandora.net/on/demandware.static/-/Sites-pandora-master-catalog/default/dwbb259ca6/productimages/singlepackshot/",LEFT(A1063,FIND("-",A1063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4" spans="1:4" x14ac:dyDescent="0.25">
      <c r="A1064" s="3" t="s">
        <v>1066</v>
      </c>
      <c r="B1064" s="4">
        <v>89</v>
      </c>
      <c r="C1064" s="3" t="str">
        <f ca="1">IFERROR(ROWSDUMMYFUNCTION(IF(A1064="","",IFERROR(IMAGE(CONCATENATE("https://us.pandora.net/on/demandware.static/-/Sites-pandora-master-catalog/default/dwbb259ca6/productimages/singlepackshot/",LEFT(A1064,FIND("-",A1064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4" s="5" t="str">
        <f ca="1">IFERROR(ROWSDUMMYFUNCTION(IF(A1064="","",CONCATENATE("https://us.pandora.net/on/demandware.static/-/Sites-pandora-master-catalog/default/dwbb259ca6/productimages/singlepackshot/",LEFT(A1064,FIND("-",A1064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5" spans="1:4" x14ac:dyDescent="0.25">
      <c r="A1065" s="3" t="s">
        <v>1067</v>
      </c>
      <c r="B1065" s="4">
        <v>89</v>
      </c>
      <c r="C1065" s="3" t="str">
        <f ca="1">IFERROR(ROWSDUMMYFUNCTION(IF(A1065="","",IFERROR(IMAGE(CONCATENATE("https://us.pandora.net/on/demandware.static/-/Sites-pandora-master-catalog/default/dwbb259ca6/productimages/singlepackshot/",LEFT(A1065,FIND("-",A1065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5" s="5" t="str">
        <f ca="1">IFERROR(ROWSDUMMYFUNCTION(IF(A1065="","",CONCATENATE("https://us.pandora.net/on/demandware.static/-/Sites-pandora-master-catalog/default/dwbb259ca6/productimages/singlepackshot/",LEFT(A1065,FIND("-",A1065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6" spans="1:4" x14ac:dyDescent="0.25">
      <c r="A1066" s="3" t="s">
        <v>1068</v>
      </c>
      <c r="B1066" s="4">
        <v>89</v>
      </c>
      <c r="C1066" s="3" t="str">
        <f ca="1">IFERROR(ROWSDUMMYFUNCTION(IF(A1066="","",IFERROR(IMAGE(CONCATENATE("https://us.pandora.net/on/demandware.static/-/Sites-pandora-master-catalog/default/dwbb259ca6/productimages/singlepackshot/",LEFT(A1066,FIND("-",A1066&amp;"-")-1),"_RGB.png")),""))),"{""url"":""https://us.pandora.net/on/demandware.static/-/Sites-pandora-master-catalog/default/dwbb259ca6/productimages/singlepackshot/192627C01_RGB.png"",""mode"":1}")</f>
        <v>{"url":"https://us.pandora.net/on/demandware.static/-/Sites-pandora-master-catalog/default/dwbb259ca6/productimages/singlepackshot/192627C01_RGB.png","mode":1}</v>
      </c>
      <c r="D1066" s="5" t="str">
        <f ca="1">IFERROR(ROWSDUMMYFUNCTION(IF(A1066="","",CONCATENATE("https://us.pandora.net/on/demandware.static/-/Sites-pandora-master-catalog/default/dwbb259ca6/productimages/singlepackshot/",LEFT(A1066,FIND("-",A1066&amp;"-")-1),"_RGB.png"))),"https://us.pandora.net/on/demandware.static/-/Sites-pandora-master-catalog/default/dwbb259ca6/productimages/singlepackshot/192627C01_RGB.png")</f>
        <v>https://us.pandora.net/on/demandware.static/-/Sites-pandora-master-catalog/default/dwbb259ca6/productimages/singlepackshot/192627C01_RGB.png</v>
      </c>
    </row>
    <row r="1067" spans="1:4" x14ac:dyDescent="0.25">
      <c r="A1067" s="3" t="s">
        <v>1069</v>
      </c>
      <c r="B1067" s="4">
        <v>129</v>
      </c>
      <c r="C1067" s="3" t="str">
        <f ca="1">IFERROR(ROWSDUMMYFUNCTION(IF(A1067="","",IFERROR(IMAGE(CONCATENATE("https://us.pandora.net/on/demandware.static/-/Sites-pandora-master-catalog/default/dwbb259ca6/productimages/singlepackshot/",LEFT(A1067,FIND("-",A1067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67" s="5" t="str">
        <f ca="1">IFERROR(ROWSDUMMYFUNCTION(IF(A1067="","",CONCATENATE("https://us.pandora.net/on/demandware.static/-/Sites-pandora-master-catalog/default/dwbb259ca6/productimages/singlepackshot/",LEFT(A1067,FIND("-",A1067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68" spans="1:4" x14ac:dyDescent="0.25">
      <c r="A1068" s="3" t="s">
        <v>1070</v>
      </c>
      <c r="B1068" s="4">
        <v>129</v>
      </c>
      <c r="C1068" s="3" t="str">
        <f ca="1">IFERROR(ROWSDUMMYFUNCTION(IF(A1068="","",IFERROR(IMAGE(CONCATENATE("https://us.pandora.net/on/demandware.static/-/Sites-pandora-master-catalog/default/dwbb259ca6/productimages/singlepackshot/",LEFT(A1068,FIND("-",A1068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68" s="5" t="str">
        <f ca="1">IFERROR(ROWSDUMMYFUNCTION(IF(A1068="","",CONCATENATE("https://us.pandora.net/on/demandware.static/-/Sites-pandora-master-catalog/default/dwbb259ca6/productimages/singlepackshot/",LEFT(A1068,FIND("-",A1068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69" spans="1:4" x14ac:dyDescent="0.25">
      <c r="A1069" s="3" t="s">
        <v>1071</v>
      </c>
      <c r="B1069" s="4">
        <v>129</v>
      </c>
      <c r="C1069" s="3" t="str">
        <f ca="1">IFERROR(ROWSDUMMYFUNCTION(IF(A1069="","",IFERROR(IMAGE(CONCATENATE("https://us.pandora.net/on/demandware.static/-/Sites-pandora-master-catalog/default/dwbb259ca6/productimages/singlepackshot/",LEFT(A1069,FIND("-",A1069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69" s="5" t="str">
        <f ca="1">IFERROR(ROWSDUMMYFUNCTION(IF(A1069="","",CONCATENATE("https://us.pandora.net/on/demandware.static/-/Sites-pandora-master-catalog/default/dwbb259ca6/productimages/singlepackshot/",LEFT(A1069,FIND("-",A1069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70" spans="1:4" x14ac:dyDescent="0.25">
      <c r="A1070" s="3" t="s">
        <v>1072</v>
      </c>
      <c r="B1070" s="4">
        <v>129</v>
      </c>
      <c r="C1070" s="3" t="str">
        <f ca="1">IFERROR(ROWSDUMMYFUNCTION(IF(A1070="","",IFERROR(IMAGE(CONCATENATE("https://us.pandora.net/on/demandware.static/-/Sites-pandora-master-catalog/default/dwbb259ca6/productimages/singlepackshot/",LEFT(A1070,FIND("-",A1070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70" s="5" t="str">
        <f ca="1">IFERROR(ROWSDUMMYFUNCTION(IF(A1070="","",CONCATENATE("https://us.pandora.net/on/demandware.static/-/Sites-pandora-master-catalog/default/dwbb259ca6/productimages/singlepackshot/",LEFT(A1070,FIND("-",A1070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71" spans="1:4" x14ac:dyDescent="0.25">
      <c r="A1071" s="3" t="s">
        <v>1073</v>
      </c>
      <c r="B1071" s="4">
        <v>129</v>
      </c>
      <c r="C1071" s="3" t="str">
        <f ca="1">IFERROR(ROWSDUMMYFUNCTION(IF(A1071="","",IFERROR(IMAGE(CONCATENATE("https://us.pandora.net/on/demandware.static/-/Sites-pandora-master-catalog/default/dwbb259ca6/productimages/singlepackshot/",LEFT(A1071,FIND("-",A1071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71" s="5" t="str">
        <f ca="1">IFERROR(ROWSDUMMYFUNCTION(IF(A1071="","",CONCATENATE("https://us.pandora.net/on/demandware.static/-/Sites-pandora-master-catalog/default/dwbb259ca6/productimages/singlepackshot/",LEFT(A1071,FIND("-",A1071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72" spans="1:4" x14ac:dyDescent="0.25">
      <c r="A1072" s="3" t="s">
        <v>1074</v>
      </c>
      <c r="B1072" s="4">
        <v>129</v>
      </c>
      <c r="C1072" s="3" t="str">
        <f ca="1">IFERROR(ROWSDUMMYFUNCTION(IF(A1072="","",IFERROR(IMAGE(CONCATENATE("https://us.pandora.net/on/demandware.static/-/Sites-pandora-master-catalog/default/dwbb259ca6/productimages/singlepackshot/",LEFT(A1072,FIND("-",A1072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72" s="5" t="str">
        <f ca="1">IFERROR(ROWSDUMMYFUNCTION(IF(A1072="","",CONCATENATE("https://us.pandora.net/on/demandware.static/-/Sites-pandora-master-catalog/default/dwbb259ca6/productimages/singlepackshot/",LEFT(A1072,FIND("-",A1072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73" spans="1:4" x14ac:dyDescent="0.25">
      <c r="A1073" s="3" t="s">
        <v>1075</v>
      </c>
      <c r="B1073" s="4">
        <v>129</v>
      </c>
      <c r="C1073" s="3" t="str">
        <f ca="1">IFERROR(ROWSDUMMYFUNCTION(IF(A1073="","",IFERROR(IMAGE(CONCATENATE("https://us.pandora.net/on/demandware.static/-/Sites-pandora-master-catalog/default/dwbb259ca6/productimages/singlepackshot/",LEFT(A1073,FIND("-",A1073&amp;"-")-1),"_RGB.png")),""))),"{""url"":""https://us.pandora.net/on/demandware.static/-/Sites-pandora-master-catalog/default/dwbb259ca6/productimages/singlepackshot/192634C01_RGB.png"",""mode"":1}")</f>
        <v>{"url":"https://us.pandora.net/on/demandware.static/-/Sites-pandora-master-catalog/default/dwbb259ca6/productimages/singlepackshot/192634C01_RGB.png","mode":1}</v>
      </c>
      <c r="D1073" s="5" t="str">
        <f ca="1">IFERROR(ROWSDUMMYFUNCTION(IF(A1073="","",CONCATENATE("https://us.pandora.net/on/demandware.static/-/Sites-pandora-master-catalog/default/dwbb259ca6/productimages/singlepackshot/",LEFT(A1073,FIND("-",A1073&amp;"-")-1),"_RGB.png"))),"https://us.pandora.net/on/demandware.static/-/Sites-pandora-master-catalog/default/dwbb259ca6/productimages/singlepackshot/192634C01_RGB.png")</f>
        <v>https://us.pandora.net/on/demandware.static/-/Sites-pandora-master-catalog/default/dwbb259ca6/productimages/singlepackshot/192634C01_RGB.png</v>
      </c>
    </row>
    <row r="1074" spans="1:4" x14ac:dyDescent="0.25">
      <c r="A1074" s="3" t="s">
        <v>1076</v>
      </c>
      <c r="B1074" s="4">
        <v>49</v>
      </c>
      <c r="C1074" s="3" t="str">
        <f ca="1">IFERROR(ROWSDUMMYFUNCTION(IF(A1074="","",IFERROR(IMAGE(CONCATENATE("https://us.pandora.net/on/demandware.static/-/Sites-pandora-master-catalog/default/dwbb259ca6/productimages/singlepackshot/",LEFT(A1074,FIND("-",A1074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74" s="5" t="str">
        <f ca="1">IFERROR(ROWSDUMMYFUNCTION(IF(A1074="","",CONCATENATE("https://us.pandora.net/on/demandware.static/-/Sites-pandora-master-catalog/default/dwbb259ca6/productimages/singlepackshot/",LEFT(A1074,FIND("-",A1074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75" spans="1:4" x14ac:dyDescent="0.25">
      <c r="A1075" s="3" t="s">
        <v>1077</v>
      </c>
      <c r="B1075" s="4">
        <v>49</v>
      </c>
      <c r="C1075" s="3" t="str">
        <f ca="1">IFERROR(ROWSDUMMYFUNCTION(IF(A1075="","",IFERROR(IMAGE(CONCATENATE("https://us.pandora.net/on/demandware.static/-/Sites-pandora-master-catalog/default/dwbb259ca6/productimages/singlepackshot/",LEFT(A1075,FIND("-",A1075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75" s="5" t="str">
        <f ca="1">IFERROR(ROWSDUMMYFUNCTION(IF(A1075="","",CONCATENATE("https://us.pandora.net/on/demandware.static/-/Sites-pandora-master-catalog/default/dwbb259ca6/productimages/singlepackshot/",LEFT(A1075,FIND("-",A1075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76" spans="1:4" x14ac:dyDescent="0.25">
      <c r="A1076" s="3" t="s">
        <v>1078</v>
      </c>
      <c r="B1076" s="4">
        <v>49</v>
      </c>
      <c r="C1076" s="3" t="str">
        <f ca="1">IFERROR(ROWSDUMMYFUNCTION(IF(A1076="","",IFERROR(IMAGE(CONCATENATE("https://us.pandora.net/on/demandware.static/-/Sites-pandora-master-catalog/default/dwbb259ca6/productimages/singlepackshot/",LEFT(A1076,FIND("-",A1076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76" s="5" t="str">
        <f ca="1">IFERROR(ROWSDUMMYFUNCTION(IF(A1076="","",CONCATENATE("https://us.pandora.net/on/demandware.static/-/Sites-pandora-master-catalog/default/dwbb259ca6/productimages/singlepackshot/",LEFT(A1076,FIND("-",A1076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77" spans="1:4" x14ac:dyDescent="0.25">
      <c r="A1077" s="3" t="s">
        <v>1079</v>
      </c>
      <c r="B1077" s="4">
        <v>49</v>
      </c>
      <c r="C1077" s="3" t="str">
        <f ca="1">IFERROR(ROWSDUMMYFUNCTION(IF(A1077="","",IFERROR(IMAGE(CONCATENATE("https://us.pandora.net/on/demandware.static/-/Sites-pandora-master-catalog/default/dwbb259ca6/productimages/singlepackshot/",LEFT(A1077,FIND("-",A1077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77" s="5" t="str">
        <f ca="1">IFERROR(ROWSDUMMYFUNCTION(IF(A1077="","",CONCATENATE("https://us.pandora.net/on/demandware.static/-/Sites-pandora-master-catalog/default/dwbb259ca6/productimages/singlepackshot/",LEFT(A1077,FIND("-",A1077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78" spans="1:4" x14ac:dyDescent="0.25">
      <c r="A1078" s="3" t="s">
        <v>1080</v>
      </c>
      <c r="B1078" s="4">
        <v>49</v>
      </c>
      <c r="C1078" s="3" t="str">
        <f ca="1">IFERROR(ROWSDUMMYFUNCTION(IF(A1078="","",IFERROR(IMAGE(CONCATENATE("https://us.pandora.net/on/demandware.static/-/Sites-pandora-master-catalog/default/dwbb259ca6/productimages/singlepackshot/",LEFT(A1078,FIND("-",A1078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78" s="5" t="str">
        <f ca="1">IFERROR(ROWSDUMMYFUNCTION(IF(A1078="","",CONCATENATE("https://us.pandora.net/on/demandware.static/-/Sites-pandora-master-catalog/default/dwbb259ca6/productimages/singlepackshot/",LEFT(A1078,FIND("-",A1078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79" spans="1:4" x14ac:dyDescent="0.25">
      <c r="A1079" s="3" t="s">
        <v>1081</v>
      </c>
      <c r="B1079" s="4">
        <v>49</v>
      </c>
      <c r="C1079" s="3" t="str">
        <f ca="1">IFERROR(ROWSDUMMYFUNCTION(IF(A1079="","",IFERROR(IMAGE(CONCATENATE("https://us.pandora.net/on/demandware.static/-/Sites-pandora-master-catalog/default/dwbb259ca6/productimages/singlepackshot/",LEFT(A1079,FIND("-",A1079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79" s="5" t="str">
        <f ca="1">IFERROR(ROWSDUMMYFUNCTION(IF(A1079="","",CONCATENATE("https://us.pandora.net/on/demandware.static/-/Sites-pandora-master-catalog/default/dwbb259ca6/productimages/singlepackshot/",LEFT(A1079,FIND("-",A1079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80" spans="1:4" x14ac:dyDescent="0.25">
      <c r="A1080" s="3" t="s">
        <v>1082</v>
      </c>
      <c r="B1080" s="4">
        <v>49</v>
      </c>
      <c r="C1080" s="3" t="str">
        <f ca="1">IFERROR(ROWSDUMMYFUNCTION(IF(A1080="","",IFERROR(IMAGE(CONCATENATE("https://us.pandora.net/on/demandware.static/-/Sites-pandora-master-catalog/default/dwbb259ca6/productimages/singlepackshot/",LEFT(A1080,FIND("-",A1080&amp;"-")-1),"_RGB.png")),""))),"{""url"":""https://us.pandora.net/on/demandware.static/-/Sites-pandora-master-catalog/default/dwbb259ca6/productimages/singlepackshot/192675C01_RGB.png"",""mode"":1}")</f>
        <v>{"url":"https://us.pandora.net/on/demandware.static/-/Sites-pandora-master-catalog/default/dwbb259ca6/productimages/singlepackshot/192675C01_RGB.png","mode":1}</v>
      </c>
      <c r="D1080" s="5" t="str">
        <f ca="1">IFERROR(ROWSDUMMYFUNCTION(IF(A1080="","",CONCATENATE("https://us.pandora.net/on/demandware.static/-/Sites-pandora-master-catalog/default/dwbb259ca6/productimages/singlepackshot/",LEFT(A1080,FIND("-",A1080&amp;"-")-1),"_RGB.png"))),"https://us.pandora.net/on/demandware.static/-/Sites-pandora-master-catalog/default/dwbb259ca6/productimages/singlepackshot/192675C01_RGB.png")</f>
        <v>https://us.pandora.net/on/demandware.static/-/Sites-pandora-master-catalog/default/dwbb259ca6/productimages/singlepackshot/192675C01_RGB.png</v>
      </c>
    </row>
    <row r="1081" spans="1:4" x14ac:dyDescent="0.25">
      <c r="A1081" s="3" t="s">
        <v>1083</v>
      </c>
      <c r="B1081" s="4">
        <v>35</v>
      </c>
      <c r="C1081" s="3" t="str">
        <f ca="1">IFERROR(ROWSDUMMYFUNCTION(IF(A1081="","",IFERROR(IMAGE(CONCATENATE("https://us.pandora.net/on/demandware.static/-/Sites-pandora-master-catalog/default/dwbb259ca6/productimages/singlepackshot/",LEFT(A1081,FIND("-",A1081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1" s="5" t="str">
        <f ca="1">IFERROR(ROWSDUMMYFUNCTION(IF(A1081="","",CONCATENATE("https://us.pandora.net/on/demandware.static/-/Sites-pandora-master-catalog/default/dwbb259ca6/productimages/singlepackshot/",LEFT(A1081,FIND("-",A1081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2" spans="1:4" x14ac:dyDescent="0.25">
      <c r="A1082" s="3" t="s">
        <v>1084</v>
      </c>
      <c r="B1082" s="4">
        <v>35</v>
      </c>
      <c r="C1082" s="3" t="str">
        <f ca="1">IFERROR(ROWSDUMMYFUNCTION(IF(A1082="","",IFERROR(IMAGE(CONCATENATE("https://us.pandora.net/on/demandware.static/-/Sites-pandora-master-catalog/default/dwbb259ca6/productimages/singlepackshot/",LEFT(A1082,FIND("-",A1082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2" s="5" t="str">
        <f ca="1">IFERROR(ROWSDUMMYFUNCTION(IF(A1082="","",CONCATENATE("https://us.pandora.net/on/demandware.static/-/Sites-pandora-master-catalog/default/dwbb259ca6/productimages/singlepackshot/",LEFT(A1082,FIND("-",A1082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3" spans="1:4" x14ac:dyDescent="0.25">
      <c r="A1083" s="3" t="s">
        <v>1085</v>
      </c>
      <c r="B1083" s="4">
        <v>35</v>
      </c>
      <c r="C1083" s="3" t="str">
        <f ca="1">IFERROR(ROWSDUMMYFUNCTION(IF(A1083="","",IFERROR(IMAGE(CONCATENATE("https://us.pandora.net/on/demandware.static/-/Sites-pandora-master-catalog/default/dwbb259ca6/productimages/singlepackshot/",LEFT(A1083,FIND("-",A1083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3" s="5" t="str">
        <f ca="1">IFERROR(ROWSDUMMYFUNCTION(IF(A1083="","",CONCATENATE("https://us.pandora.net/on/demandware.static/-/Sites-pandora-master-catalog/default/dwbb259ca6/productimages/singlepackshot/",LEFT(A1083,FIND("-",A1083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4" spans="1:4" x14ac:dyDescent="0.25">
      <c r="A1084" s="3" t="s">
        <v>1086</v>
      </c>
      <c r="B1084" s="4">
        <v>35</v>
      </c>
      <c r="C1084" s="3" t="str">
        <f ca="1">IFERROR(ROWSDUMMYFUNCTION(IF(A1084="","",IFERROR(IMAGE(CONCATENATE("https://us.pandora.net/on/demandware.static/-/Sites-pandora-master-catalog/default/dwbb259ca6/productimages/singlepackshot/",LEFT(A1084,FIND("-",A1084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4" s="5" t="str">
        <f ca="1">IFERROR(ROWSDUMMYFUNCTION(IF(A1084="","",CONCATENATE("https://us.pandora.net/on/demandware.static/-/Sites-pandora-master-catalog/default/dwbb259ca6/productimages/singlepackshot/",LEFT(A1084,FIND("-",A1084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5" spans="1:4" x14ac:dyDescent="0.25">
      <c r="A1085" s="3" t="s">
        <v>1087</v>
      </c>
      <c r="B1085" s="4">
        <v>35</v>
      </c>
      <c r="C1085" s="3" t="str">
        <f ca="1">IFERROR(ROWSDUMMYFUNCTION(IF(A1085="","",IFERROR(IMAGE(CONCATENATE("https://us.pandora.net/on/demandware.static/-/Sites-pandora-master-catalog/default/dwbb259ca6/productimages/singlepackshot/",LEFT(A1085,FIND("-",A1085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5" s="5" t="str">
        <f ca="1">IFERROR(ROWSDUMMYFUNCTION(IF(A1085="","",CONCATENATE("https://us.pandora.net/on/demandware.static/-/Sites-pandora-master-catalog/default/dwbb259ca6/productimages/singlepackshot/",LEFT(A1085,FIND("-",A1085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6" spans="1:4" x14ac:dyDescent="0.25">
      <c r="A1086" s="3" t="s">
        <v>1088</v>
      </c>
      <c r="B1086" s="4">
        <v>35</v>
      </c>
      <c r="C1086" s="3" t="str">
        <f ca="1">IFERROR(ROWSDUMMYFUNCTION(IF(A1086="","",IFERROR(IMAGE(CONCATENATE("https://us.pandora.net/on/demandware.static/-/Sites-pandora-master-catalog/default/dwbb259ca6/productimages/singlepackshot/",LEFT(A1086,FIND("-",A1086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6" s="5" t="str">
        <f ca="1">IFERROR(ROWSDUMMYFUNCTION(IF(A1086="","",CONCATENATE("https://us.pandora.net/on/demandware.static/-/Sites-pandora-master-catalog/default/dwbb259ca6/productimages/singlepackshot/",LEFT(A1086,FIND("-",A1086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7" spans="1:4" x14ac:dyDescent="0.25">
      <c r="A1087" s="3" t="s">
        <v>1089</v>
      </c>
      <c r="B1087" s="4">
        <v>35</v>
      </c>
      <c r="C1087" s="3" t="str">
        <f ca="1">IFERROR(ROWSDUMMYFUNCTION(IF(A1087="","",IFERROR(IMAGE(CONCATENATE("https://us.pandora.net/on/demandware.static/-/Sites-pandora-master-catalog/default/dwbb259ca6/productimages/singlepackshot/",LEFT(A1087,FIND("-",A1087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7" s="5" t="str">
        <f ca="1">IFERROR(ROWSDUMMYFUNCTION(IF(A1087="","",CONCATENATE("https://us.pandora.net/on/demandware.static/-/Sites-pandora-master-catalog/default/dwbb259ca6/productimages/singlepackshot/",LEFT(A1087,FIND("-",A1087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8" spans="1:4" x14ac:dyDescent="0.25">
      <c r="A1088" s="3" t="s">
        <v>1090</v>
      </c>
      <c r="B1088" s="4">
        <v>35</v>
      </c>
      <c r="C1088" s="3" t="str">
        <f ca="1">IFERROR(ROWSDUMMYFUNCTION(IF(A1088="","",IFERROR(IMAGE(CONCATENATE("https://us.pandora.net/on/demandware.static/-/Sites-pandora-master-catalog/default/dwbb259ca6/productimages/singlepackshot/",LEFT(A1088,FIND("-",A1088&amp;"-")-1),"_RGB.png")),""))),"{""url"":""https://us.pandora.net/on/demandware.static/-/Sites-pandora-master-catalog/default/dwbb259ca6/productimages/singlepackshot/192800C01_RGB.png"",""mode"":1}")</f>
        <v>{"url":"https://us.pandora.net/on/demandware.static/-/Sites-pandora-master-catalog/default/dwbb259ca6/productimages/singlepackshot/192800C01_RGB.png","mode":1}</v>
      </c>
      <c r="D1088" s="5" t="str">
        <f ca="1">IFERROR(ROWSDUMMYFUNCTION(IF(A1088="","",CONCATENATE("https://us.pandora.net/on/demandware.static/-/Sites-pandora-master-catalog/default/dwbb259ca6/productimages/singlepackshot/",LEFT(A1088,FIND("-",A1088&amp;"-")-1),"_RGB.png"))),"https://us.pandora.net/on/demandware.static/-/Sites-pandora-master-catalog/default/dwbb259ca6/productimages/singlepackshot/192800C01_RGB.png")</f>
        <v>https://us.pandora.net/on/demandware.static/-/Sites-pandora-master-catalog/default/dwbb259ca6/productimages/singlepackshot/192800C01_RGB.png</v>
      </c>
    </row>
    <row r="1089" spans="1:4" x14ac:dyDescent="0.25">
      <c r="A1089" s="3" t="s">
        <v>1091</v>
      </c>
      <c r="B1089" s="4">
        <v>79</v>
      </c>
      <c r="C1089" s="3" t="str">
        <f ca="1">IFERROR(ROWSDUMMYFUNCTION(IF(A1089="","",IFERROR(IMAGE(CONCATENATE("https://us.pandora.net/on/demandware.static/-/Sites-pandora-master-catalog/default/dwbb259ca6/productimages/singlepackshot/",LEFT(A1089,FIND("-",A1089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89" s="5" t="str">
        <f ca="1">IFERROR(ROWSDUMMYFUNCTION(IF(A1089="","",CONCATENATE("https://us.pandora.net/on/demandware.static/-/Sites-pandora-master-catalog/default/dwbb259ca6/productimages/singlepackshot/",LEFT(A1089,FIND("-",A1089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0" spans="1:4" x14ac:dyDescent="0.25">
      <c r="A1090" s="3" t="s">
        <v>1092</v>
      </c>
      <c r="B1090" s="4">
        <v>79</v>
      </c>
      <c r="C1090" s="3" t="str">
        <f ca="1">IFERROR(ROWSDUMMYFUNCTION(IF(A1090="","",IFERROR(IMAGE(CONCATENATE("https://us.pandora.net/on/demandware.static/-/Sites-pandora-master-catalog/default/dwbb259ca6/productimages/singlepackshot/",LEFT(A1090,FIND("-",A1090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90" s="5" t="str">
        <f ca="1">IFERROR(ROWSDUMMYFUNCTION(IF(A1090="","",CONCATENATE("https://us.pandora.net/on/demandware.static/-/Sites-pandora-master-catalog/default/dwbb259ca6/productimages/singlepackshot/",LEFT(A1090,FIND("-",A1090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1" spans="1:4" x14ac:dyDescent="0.25">
      <c r="A1091" s="3" t="s">
        <v>1093</v>
      </c>
      <c r="B1091" s="4">
        <v>79</v>
      </c>
      <c r="C1091" s="3" t="str">
        <f ca="1">IFERROR(ROWSDUMMYFUNCTION(IF(A1091="","",IFERROR(IMAGE(CONCATENATE("https://us.pandora.net/on/demandware.static/-/Sites-pandora-master-catalog/default/dwbb259ca6/productimages/singlepackshot/",LEFT(A1091,FIND("-",A1091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91" s="5" t="str">
        <f ca="1">IFERROR(ROWSDUMMYFUNCTION(IF(A1091="","",CONCATENATE("https://us.pandora.net/on/demandware.static/-/Sites-pandora-master-catalog/default/dwbb259ca6/productimages/singlepackshot/",LEFT(A1091,FIND("-",A1091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2" spans="1:4" x14ac:dyDescent="0.25">
      <c r="A1092" s="3" t="s">
        <v>1094</v>
      </c>
      <c r="B1092" s="4">
        <v>79</v>
      </c>
      <c r="C1092" s="3" t="str">
        <f ca="1">IFERROR(ROWSDUMMYFUNCTION(IF(A1092="","",IFERROR(IMAGE(CONCATENATE("https://us.pandora.net/on/demandware.static/-/Sites-pandora-master-catalog/default/dwbb259ca6/productimages/singlepackshot/",LEFT(A1092,FIND("-",A1092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92" s="5" t="str">
        <f ca="1">IFERROR(ROWSDUMMYFUNCTION(IF(A1092="","",CONCATENATE("https://us.pandora.net/on/demandware.static/-/Sites-pandora-master-catalog/default/dwbb259ca6/productimages/singlepackshot/",LEFT(A1092,FIND("-",A1092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3" spans="1:4" x14ac:dyDescent="0.25">
      <c r="A1093" s="3" t="s">
        <v>1095</v>
      </c>
      <c r="B1093" s="4">
        <v>79</v>
      </c>
      <c r="C1093" s="3" t="str">
        <f ca="1">IFERROR(ROWSDUMMYFUNCTION(IF(A1093="","",IFERROR(IMAGE(CONCATENATE("https://us.pandora.net/on/demandware.static/-/Sites-pandora-master-catalog/default/dwbb259ca6/productimages/singlepackshot/",LEFT(A1093,FIND("-",A1093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93" s="5" t="str">
        <f ca="1">IFERROR(ROWSDUMMYFUNCTION(IF(A1093="","",CONCATENATE("https://us.pandora.net/on/demandware.static/-/Sites-pandora-master-catalog/default/dwbb259ca6/productimages/singlepackshot/",LEFT(A1093,FIND("-",A1093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4" spans="1:4" x14ac:dyDescent="0.25">
      <c r="A1094" s="3" t="s">
        <v>1096</v>
      </c>
      <c r="B1094" s="4">
        <v>79</v>
      </c>
      <c r="C1094" s="3" t="str">
        <f ca="1">IFERROR(ROWSDUMMYFUNCTION(IF(A1094="","",IFERROR(IMAGE(CONCATENATE("https://us.pandora.net/on/demandware.static/-/Sites-pandora-master-catalog/default/dwbb259ca6/productimages/singlepackshot/",LEFT(A1094,FIND("-",A1094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94" s="5" t="str">
        <f ca="1">IFERROR(ROWSDUMMYFUNCTION(IF(A1094="","",CONCATENATE("https://us.pandora.net/on/demandware.static/-/Sites-pandora-master-catalog/default/dwbb259ca6/productimages/singlepackshot/",LEFT(A1094,FIND("-",A1094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5" spans="1:4" x14ac:dyDescent="0.25">
      <c r="A1095" s="3" t="s">
        <v>1097</v>
      </c>
      <c r="B1095" s="4">
        <v>79</v>
      </c>
      <c r="C1095" s="3" t="str">
        <f ca="1">IFERROR(ROWSDUMMYFUNCTION(IF(A1095="","",IFERROR(IMAGE(CONCATENATE("https://us.pandora.net/on/demandware.static/-/Sites-pandora-master-catalog/default/dwbb259ca6/productimages/singlepackshot/",LEFT(A1095,FIND("-",A1095&amp;"-")-1),"_RGB.png")),""))),"{""url"":""https://us.pandora.net/on/demandware.static/-/Sites-pandora-master-catalog/default/dwbb259ca6/productimages/singlepackshot/192835C01_RGB.png"",""mode"":1}")</f>
        <v>{"url":"https://us.pandora.net/on/demandware.static/-/Sites-pandora-master-catalog/default/dwbb259ca6/productimages/singlepackshot/192835C01_RGB.png","mode":1}</v>
      </c>
      <c r="D1095" s="5" t="str">
        <f ca="1">IFERROR(ROWSDUMMYFUNCTION(IF(A1095="","",CONCATENATE("https://us.pandora.net/on/demandware.static/-/Sites-pandora-master-catalog/default/dwbb259ca6/productimages/singlepackshot/",LEFT(A1095,FIND("-",A1095&amp;"-")-1),"_RGB.png"))),"https://us.pandora.net/on/demandware.static/-/Sites-pandora-master-catalog/default/dwbb259ca6/productimages/singlepackshot/192835C01_RGB.png")</f>
        <v>https://us.pandora.net/on/demandware.static/-/Sites-pandora-master-catalog/default/dwbb259ca6/productimages/singlepackshot/192835C01_RGB.png</v>
      </c>
    </row>
    <row r="1096" spans="1:4" x14ac:dyDescent="0.25">
      <c r="A1096" s="3" t="s">
        <v>1098</v>
      </c>
      <c r="B1096" s="4">
        <v>49</v>
      </c>
      <c r="C1096" s="3" t="str">
        <f ca="1">IFERROR(ROWSDUMMYFUNCTION(IF(A1096="","",IFERROR(IMAGE(CONCATENATE("https://us.pandora.net/on/demandware.static/-/Sites-pandora-master-catalog/default/dwbb259ca6/productimages/singlepackshot/",LEFT(A1096,FIND("-",A1096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096" s="5" t="str">
        <f ca="1">IFERROR(ROWSDUMMYFUNCTION(IF(A1096="","",CONCATENATE("https://us.pandora.net/on/demandware.static/-/Sites-pandora-master-catalog/default/dwbb259ca6/productimages/singlepackshot/",LEFT(A1096,FIND("-",A1096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097" spans="1:4" x14ac:dyDescent="0.25">
      <c r="A1097" s="3" t="s">
        <v>1099</v>
      </c>
      <c r="B1097" s="4">
        <v>49</v>
      </c>
      <c r="C1097" s="3" t="str">
        <f ca="1">IFERROR(ROWSDUMMYFUNCTION(IF(A1097="","",IFERROR(IMAGE(CONCATENATE("https://us.pandora.net/on/demandware.static/-/Sites-pandora-master-catalog/default/dwbb259ca6/productimages/singlepackshot/",LEFT(A1097,FIND("-",A1097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097" s="5" t="str">
        <f ca="1">IFERROR(ROWSDUMMYFUNCTION(IF(A1097="","",CONCATENATE("https://us.pandora.net/on/demandware.static/-/Sites-pandora-master-catalog/default/dwbb259ca6/productimages/singlepackshot/",LEFT(A1097,FIND("-",A1097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098" spans="1:4" x14ac:dyDescent="0.25">
      <c r="A1098" s="3" t="s">
        <v>1100</v>
      </c>
      <c r="B1098" s="4">
        <v>49</v>
      </c>
      <c r="C1098" s="3" t="str">
        <f ca="1">IFERROR(ROWSDUMMYFUNCTION(IF(A1098="","",IFERROR(IMAGE(CONCATENATE("https://us.pandora.net/on/demandware.static/-/Sites-pandora-master-catalog/default/dwbb259ca6/productimages/singlepackshot/",LEFT(A1098,FIND("-",A1098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098" s="5" t="str">
        <f ca="1">IFERROR(ROWSDUMMYFUNCTION(IF(A1098="","",CONCATENATE("https://us.pandora.net/on/demandware.static/-/Sites-pandora-master-catalog/default/dwbb259ca6/productimages/singlepackshot/",LEFT(A1098,FIND("-",A1098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099" spans="1:4" x14ac:dyDescent="0.25">
      <c r="A1099" s="3" t="s">
        <v>1101</v>
      </c>
      <c r="B1099" s="4">
        <v>49</v>
      </c>
      <c r="C1099" s="3" t="str">
        <f ca="1">IFERROR(ROWSDUMMYFUNCTION(IF(A1099="","",IFERROR(IMAGE(CONCATENATE("https://us.pandora.net/on/demandware.static/-/Sites-pandora-master-catalog/default/dwbb259ca6/productimages/singlepackshot/",LEFT(A1099,FIND("-",A1099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099" s="5" t="str">
        <f ca="1">IFERROR(ROWSDUMMYFUNCTION(IF(A1099="","",CONCATENATE("https://us.pandora.net/on/demandware.static/-/Sites-pandora-master-catalog/default/dwbb259ca6/productimages/singlepackshot/",LEFT(A1099,FIND("-",A1099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100" spans="1:4" x14ac:dyDescent="0.25">
      <c r="A1100" s="3" t="s">
        <v>1102</v>
      </c>
      <c r="B1100" s="4">
        <v>49</v>
      </c>
      <c r="C1100" s="3" t="str">
        <f ca="1">IFERROR(ROWSDUMMYFUNCTION(IF(A1100="","",IFERROR(IMAGE(CONCATENATE("https://us.pandora.net/on/demandware.static/-/Sites-pandora-master-catalog/default/dwbb259ca6/productimages/singlepackshot/",LEFT(A1100,FIND("-",A1100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100" s="5" t="str">
        <f ca="1">IFERROR(ROWSDUMMYFUNCTION(IF(A1100="","",CONCATENATE("https://us.pandora.net/on/demandware.static/-/Sites-pandora-master-catalog/default/dwbb259ca6/productimages/singlepackshot/",LEFT(A1100,FIND("-",A1100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101" spans="1:4" x14ac:dyDescent="0.25">
      <c r="A1101" s="3" t="s">
        <v>1103</v>
      </c>
      <c r="B1101" s="4">
        <v>49</v>
      </c>
      <c r="C1101" s="3" t="str">
        <f ca="1">IFERROR(ROWSDUMMYFUNCTION(IF(A1101="","",IFERROR(IMAGE(CONCATENATE("https://us.pandora.net/on/demandware.static/-/Sites-pandora-master-catalog/default/dwbb259ca6/productimages/singlepackshot/",LEFT(A1101,FIND("-",A1101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101" s="5" t="str">
        <f ca="1">IFERROR(ROWSDUMMYFUNCTION(IF(A1101="","",CONCATENATE("https://us.pandora.net/on/demandware.static/-/Sites-pandora-master-catalog/default/dwbb259ca6/productimages/singlepackshot/",LEFT(A1101,FIND("-",A1101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102" spans="1:4" x14ac:dyDescent="0.25">
      <c r="A1102" s="3" t="s">
        <v>1104</v>
      </c>
      <c r="B1102" s="4">
        <v>49</v>
      </c>
      <c r="C1102" s="3" t="str">
        <f ca="1">IFERROR(ROWSDUMMYFUNCTION(IF(A1102="","",IFERROR(IMAGE(CONCATENATE("https://us.pandora.net/on/demandware.static/-/Sites-pandora-master-catalog/default/dwbb259ca6/productimages/singlepackshot/",LEFT(A1102,FIND("-",A1102&amp;"-")-1),"_RGB.png")),""))),"{""url"":""https://us.pandora.net/on/demandware.static/-/Sites-pandora-master-catalog/default/dwbb259ca6/productimages/singlepackshot/192993C01_RGB.png"",""mode"":1}")</f>
        <v>{"url":"https://us.pandora.net/on/demandware.static/-/Sites-pandora-master-catalog/default/dwbb259ca6/productimages/singlepackshot/192993C01_RGB.png","mode":1}</v>
      </c>
      <c r="D1102" s="5" t="str">
        <f ca="1">IFERROR(ROWSDUMMYFUNCTION(IF(A1102="","",CONCATENATE("https://us.pandora.net/on/demandware.static/-/Sites-pandora-master-catalog/default/dwbb259ca6/productimages/singlepackshot/",LEFT(A1102,FIND("-",A1102&amp;"-")-1),"_RGB.png"))),"https://us.pandora.net/on/demandware.static/-/Sites-pandora-master-catalog/default/dwbb259ca6/productimages/singlepackshot/192993C01_RGB.png")</f>
        <v>https://us.pandora.net/on/demandware.static/-/Sites-pandora-master-catalog/default/dwbb259ca6/productimages/singlepackshot/192993C01_RGB.png</v>
      </c>
    </row>
    <row r="1103" spans="1:4" x14ac:dyDescent="0.25">
      <c r="A1103" s="3" t="s">
        <v>1105</v>
      </c>
      <c r="B1103" s="4">
        <v>49</v>
      </c>
      <c r="C1103" s="3" t="str">
        <f ca="1">IFERROR(ROWSDUMMYFUNCTION(IF(A1103="","",IFERROR(IMAGE(CONCATENATE("https://us.pandora.net/on/demandware.static/-/Sites-pandora-master-catalog/default/dwbb259ca6/productimages/singlepackshot/",LEFT(A1103,FIND("-",A1103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3" s="5" t="str">
        <f ca="1">IFERROR(ROWSDUMMYFUNCTION(IF(A1103="","",CONCATENATE("https://us.pandora.net/on/demandware.static/-/Sites-pandora-master-catalog/default/dwbb259ca6/productimages/singlepackshot/",LEFT(A1103,FIND("-",A1103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04" spans="1:4" x14ac:dyDescent="0.25">
      <c r="A1104" s="3" t="s">
        <v>1106</v>
      </c>
      <c r="B1104" s="4">
        <v>49</v>
      </c>
      <c r="C1104" s="3" t="str">
        <f ca="1">IFERROR(ROWSDUMMYFUNCTION(IF(A1104="","",IFERROR(IMAGE(CONCATENATE("https://us.pandora.net/on/demandware.static/-/Sites-pandora-master-catalog/default/dwbb259ca6/productimages/singlepackshot/",LEFT(A1104,FIND("-",A1104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4" s="5" t="str">
        <f ca="1">IFERROR(ROWSDUMMYFUNCTION(IF(A1104="","",CONCATENATE("https://us.pandora.net/on/demandware.static/-/Sites-pandora-master-catalog/default/dwbb259ca6/productimages/singlepackshot/",LEFT(A1104,FIND("-",A1104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05" spans="1:4" x14ac:dyDescent="0.25">
      <c r="A1105" s="3" t="s">
        <v>1107</v>
      </c>
      <c r="B1105" s="4">
        <v>49</v>
      </c>
      <c r="C1105" s="3" t="str">
        <f ca="1">IFERROR(ROWSDUMMYFUNCTION(IF(A1105="","",IFERROR(IMAGE(CONCATENATE("https://us.pandora.net/on/demandware.static/-/Sites-pandora-master-catalog/default/dwbb259ca6/productimages/singlepackshot/",LEFT(A1105,FIND("-",A1105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5" s="5" t="str">
        <f ca="1">IFERROR(ROWSDUMMYFUNCTION(IF(A1105="","",CONCATENATE("https://us.pandora.net/on/demandware.static/-/Sites-pandora-master-catalog/default/dwbb259ca6/productimages/singlepackshot/",LEFT(A1105,FIND("-",A1105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06" spans="1:4" x14ac:dyDescent="0.25">
      <c r="A1106" s="3" t="s">
        <v>1108</v>
      </c>
      <c r="B1106" s="4">
        <v>49</v>
      </c>
      <c r="C1106" s="3" t="str">
        <f ca="1">IFERROR(ROWSDUMMYFUNCTION(IF(A1106="","",IFERROR(IMAGE(CONCATENATE("https://us.pandora.net/on/demandware.static/-/Sites-pandora-master-catalog/default/dwbb259ca6/productimages/singlepackshot/",LEFT(A1106,FIND("-",A1106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6" s="5" t="str">
        <f ca="1">IFERROR(ROWSDUMMYFUNCTION(IF(A1106="","",CONCATENATE("https://us.pandora.net/on/demandware.static/-/Sites-pandora-master-catalog/default/dwbb259ca6/productimages/singlepackshot/",LEFT(A1106,FIND("-",A1106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07" spans="1:4" x14ac:dyDescent="0.25">
      <c r="A1107" s="3" t="s">
        <v>1109</v>
      </c>
      <c r="B1107" s="4">
        <v>49</v>
      </c>
      <c r="C1107" s="3" t="str">
        <f ca="1">IFERROR(ROWSDUMMYFUNCTION(IF(A1107="","",IFERROR(IMAGE(CONCATENATE("https://us.pandora.net/on/demandware.static/-/Sites-pandora-master-catalog/default/dwbb259ca6/productimages/singlepackshot/",LEFT(A1107,FIND("-",A1107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7" s="5" t="str">
        <f ca="1">IFERROR(ROWSDUMMYFUNCTION(IF(A1107="","",CONCATENATE("https://us.pandora.net/on/demandware.static/-/Sites-pandora-master-catalog/default/dwbb259ca6/productimages/singlepackshot/",LEFT(A1107,FIND("-",A1107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08" spans="1:4" x14ac:dyDescent="0.25">
      <c r="A1108" s="3" t="s">
        <v>1110</v>
      </c>
      <c r="B1108" s="4">
        <v>49</v>
      </c>
      <c r="C1108" s="3" t="str">
        <f ca="1">IFERROR(ROWSDUMMYFUNCTION(IF(A1108="","",IFERROR(IMAGE(CONCATENATE("https://us.pandora.net/on/demandware.static/-/Sites-pandora-master-catalog/default/dwbb259ca6/productimages/singlepackshot/",LEFT(A1108,FIND("-",A1108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8" s="5" t="str">
        <f ca="1">IFERROR(ROWSDUMMYFUNCTION(IF(A1108="","",CONCATENATE("https://us.pandora.net/on/demandware.static/-/Sites-pandora-master-catalog/default/dwbb259ca6/productimages/singlepackshot/",LEFT(A1108,FIND("-",A1108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09" spans="1:4" x14ac:dyDescent="0.25">
      <c r="A1109" s="3" t="s">
        <v>1111</v>
      </c>
      <c r="B1109" s="4">
        <v>49</v>
      </c>
      <c r="C1109" s="3" t="str">
        <f ca="1">IFERROR(ROWSDUMMYFUNCTION(IF(A1109="","",IFERROR(IMAGE(CONCATENATE("https://us.pandora.net/on/demandware.static/-/Sites-pandora-master-catalog/default/dwbb259ca6/productimages/singlepackshot/",LEFT(A1109,FIND("-",A1109&amp;"-")-1),"_RGB.png")),""))),"{""url"":""https://us.pandora.net/on/demandware.static/-/Sites-pandora-master-catalog/default/dwbb259ca6/productimages/singlepackshot/192993C03_RGB.png"",""mode"":1}")</f>
        <v>{"url":"https://us.pandora.net/on/demandware.static/-/Sites-pandora-master-catalog/default/dwbb259ca6/productimages/singlepackshot/192993C03_RGB.png","mode":1}</v>
      </c>
      <c r="D1109" s="5" t="str">
        <f ca="1">IFERROR(ROWSDUMMYFUNCTION(IF(A1109="","",CONCATENATE("https://us.pandora.net/on/demandware.static/-/Sites-pandora-master-catalog/default/dwbb259ca6/productimages/singlepackshot/",LEFT(A1109,FIND("-",A1109&amp;"-")-1),"_RGB.png"))),"https://us.pandora.net/on/demandware.static/-/Sites-pandora-master-catalog/default/dwbb259ca6/productimages/singlepackshot/192993C03_RGB.png")</f>
        <v>https://us.pandora.net/on/demandware.static/-/Sites-pandora-master-catalog/default/dwbb259ca6/productimages/singlepackshot/192993C03_RGB.png</v>
      </c>
    </row>
    <row r="1110" spans="1:4" x14ac:dyDescent="0.25">
      <c r="A1110" s="3" t="s">
        <v>1112</v>
      </c>
      <c r="B1110" s="4">
        <v>49</v>
      </c>
      <c r="C1110" s="3" t="str">
        <f ca="1">IFERROR(ROWSDUMMYFUNCTION(IF(A1110="","",IFERROR(IMAGE(CONCATENATE("https://us.pandora.net/on/demandware.static/-/Sites-pandora-master-catalog/default/dwbb259ca6/productimages/singlepackshot/",LEFT(A1110,FIND("-",A1110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0" s="5" t="str">
        <f ca="1">IFERROR(ROWSDUMMYFUNCTION(IF(A1110="","",CONCATENATE("https://us.pandora.net/on/demandware.static/-/Sites-pandora-master-catalog/default/dwbb259ca6/productimages/singlepackshot/",LEFT(A1110,FIND("-",A1110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1" spans="1:4" x14ac:dyDescent="0.25">
      <c r="A1111" s="3" t="s">
        <v>1113</v>
      </c>
      <c r="B1111" s="4">
        <v>49</v>
      </c>
      <c r="C1111" s="3" t="str">
        <f ca="1">IFERROR(ROWSDUMMYFUNCTION(IF(A1111="","",IFERROR(IMAGE(CONCATENATE("https://us.pandora.net/on/demandware.static/-/Sites-pandora-master-catalog/default/dwbb259ca6/productimages/singlepackshot/",LEFT(A1111,FIND("-",A1111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1" s="5" t="str">
        <f ca="1">IFERROR(ROWSDUMMYFUNCTION(IF(A1111="","",CONCATENATE("https://us.pandora.net/on/demandware.static/-/Sites-pandora-master-catalog/default/dwbb259ca6/productimages/singlepackshot/",LEFT(A1111,FIND("-",A1111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2" spans="1:4" x14ac:dyDescent="0.25">
      <c r="A1112" s="3" t="s">
        <v>1114</v>
      </c>
      <c r="B1112" s="4">
        <v>49</v>
      </c>
      <c r="C1112" s="3" t="str">
        <f ca="1">IFERROR(ROWSDUMMYFUNCTION(IF(A1112="","",IFERROR(IMAGE(CONCATENATE("https://us.pandora.net/on/demandware.static/-/Sites-pandora-master-catalog/default/dwbb259ca6/productimages/singlepackshot/",LEFT(A1112,FIND("-",A1112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2" s="5" t="str">
        <f ca="1">IFERROR(ROWSDUMMYFUNCTION(IF(A1112="","",CONCATENATE("https://us.pandora.net/on/demandware.static/-/Sites-pandora-master-catalog/default/dwbb259ca6/productimages/singlepackshot/",LEFT(A1112,FIND("-",A1112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3" spans="1:4" x14ac:dyDescent="0.25">
      <c r="A1113" s="3" t="s">
        <v>1115</v>
      </c>
      <c r="B1113" s="4">
        <v>49</v>
      </c>
      <c r="C1113" s="3" t="str">
        <f ca="1">IFERROR(ROWSDUMMYFUNCTION(IF(A1113="","",IFERROR(IMAGE(CONCATENATE("https://us.pandora.net/on/demandware.static/-/Sites-pandora-master-catalog/default/dwbb259ca6/productimages/singlepackshot/",LEFT(A1113,FIND("-",A1113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3" s="5" t="str">
        <f ca="1">IFERROR(ROWSDUMMYFUNCTION(IF(A1113="","",CONCATENATE("https://us.pandora.net/on/demandware.static/-/Sites-pandora-master-catalog/default/dwbb259ca6/productimages/singlepackshot/",LEFT(A1113,FIND("-",A1113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4" spans="1:4" x14ac:dyDescent="0.25">
      <c r="A1114" s="3" t="s">
        <v>1116</v>
      </c>
      <c r="B1114" s="4">
        <v>49</v>
      </c>
      <c r="C1114" s="3" t="str">
        <f ca="1">IFERROR(ROWSDUMMYFUNCTION(IF(A1114="","",IFERROR(IMAGE(CONCATENATE("https://us.pandora.net/on/demandware.static/-/Sites-pandora-master-catalog/default/dwbb259ca6/productimages/singlepackshot/",LEFT(A1114,FIND("-",A1114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4" s="5" t="str">
        <f ca="1">IFERROR(ROWSDUMMYFUNCTION(IF(A1114="","",CONCATENATE("https://us.pandora.net/on/demandware.static/-/Sites-pandora-master-catalog/default/dwbb259ca6/productimages/singlepackshot/",LEFT(A1114,FIND("-",A1114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5" spans="1:4" x14ac:dyDescent="0.25">
      <c r="A1115" s="3" t="s">
        <v>1117</v>
      </c>
      <c r="B1115" s="4">
        <v>49</v>
      </c>
      <c r="C1115" s="3" t="str">
        <f ca="1">IFERROR(ROWSDUMMYFUNCTION(IF(A1115="","",IFERROR(IMAGE(CONCATENATE("https://us.pandora.net/on/demandware.static/-/Sites-pandora-master-catalog/default/dwbb259ca6/productimages/singlepackshot/",LEFT(A1115,FIND("-",A1115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5" s="5" t="str">
        <f ca="1">IFERROR(ROWSDUMMYFUNCTION(IF(A1115="","",CONCATENATE("https://us.pandora.net/on/demandware.static/-/Sites-pandora-master-catalog/default/dwbb259ca6/productimages/singlepackshot/",LEFT(A1115,FIND("-",A1115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6" spans="1:4" x14ac:dyDescent="0.25">
      <c r="A1116" s="3" t="s">
        <v>1118</v>
      </c>
      <c r="B1116" s="4">
        <v>49</v>
      </c>
      <c r="C1116" s="3" t="str">
        <f ca="1">IFERROR(ROWSDUMMYFUNCTION(IF(A1116="","",IFERROR(IMAGE(CONCATENATE("https://us.pandora.net/on/demandware.static/-/Sites-pandora-master-catalog/default/dwbb259ca6/productimages/singlepackshot/",LEFT(A1116,FIND("-",A1116&amp;"-")-1),"_RGB.png")),""))),"{""url"":""https://us.pandora.net/on/demandware.static/-/Sites-pandora-master-catalog/default/dwbb259ca6/productimages/singlepackshot/192993C05_RGB.png"",""mode"":1}")</f>
        <v>{"url":"https://us.pandora.net/on/demandware.static/-/Sites-pandora-master-catalog/default/dwbb259ca6/productimages/singlepackshot/192993C05_RGB.png","mode":1}</v>
      </c>
      <c r="D1116" s="5" t="str">
        <f ca="1">IFERROR(ROWSDUMMYFUNCTION(IF(A1116="","",CONCATENATE("https://us.pandora.net/on/demandware.static/-/Sites-pandora-master-catalog/default/dwbb259ca6/productimages/singlepackshot/",LEFT(A1116,FIND("-",A1116&amp;"-")-1),"_RGB.png"))),"https://us.pandora.net/on/demandware.static/-/Sites-pandora-master-catalog/default/dwbb259ca6/productimages/singlepackshot/192993C05_RGB.png")</f>
        <v>https://us.pandora.net/on/demandware.static/-/Sites-pandora-master-catalog/default/dwbb259ca6/productimages/singlepackshot/192993C05_RGB.png</v>
      </c>
    </row>
    <row r="1117" spans="1:4" x14ac:dyDescent="0.25">
      <c r="A1117" s="3" t="s">
        <v>1119</v>
      </c>
      <c r="B1117" s="4">
        <v>49</v>
      </c>
      <c r="C1117" s="3" t="str">
        <f ca="1">IFERROR(ROWSDUMMYFUNCTION(IF(A1117="","",IFERROR(IMAGE(CONCATENATE("https://us.pandora.net/on/demandware.static/-/Sites-pandora-master-catalog/default/dwbb259ca6/productimages/singlepackshot/",LEFT(A1117,FIND("-",A1117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17" s="5" t="str">
        <f ca="1">IFERROR(ROWSDUMMYFUNCTION(IF(A1117="","",CONCATENATE("https://us.pandora.net/on/demandware.static/-/Sites-pandora-master-catalog/default/dwbb259ca6/productimages/singlepackshot/",LEFT(A1117,FIND("-",A1117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18" spans="1:4" x14ac:dyDescent="0.25">
      <c r="A1118" s="3" t="s">
        <v>1120</v>
      </c>
      <c r="B1118" s="4">
        <v>49</v>
      </c>
      <c r="C1118" s="3" t="str">
        <f ca="1">IFERROR(ROWSDUMMYFUNCTION(IF(A1118="","",IFERROR(IMAGE(CONCATENATE("https://us.pandora.net/on/demandware.static/-/Sites-pandora-master-catalog/default/dwbb259ca6/productimages/singlepackshot/",LEFT(A1118,FIND("-",A1118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18" s="5" t="str">
        <f ca="1">IFERROR(ROWSDUMMYFUNCTION(IF(A1118="","",CONCATENATE("https://us.pandora.net/on/demandware.static/-/Sites-pandora-master-catalog/default/dwbb259ca6/productimages/singlepackshot/",LEFT(A1118,FIND("-",A1118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19" spans="1:4" x14ac:dyDescent="0.25">
      <c r="A1119" s="3" t="s">
        <v>1121</v>
      </c>
      <c r="B1119" s="4">
        <v>49</v>
      </c>
      <c r="C1119" s="3" t="str">
        <f ca="1">IFERROR(ROWSDUMMYFUNCTION(IF(A1119="","",IFERROR(IMAGE(CONCATENATE("https://us.pandora.net/on/demandware.static/-/Sites-pandora-master-catalog/default/dwbb259ca6/productimages/singlepackshot/",LEFT(A1119,FIND("-",A1119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19" s="5" t="str">
        <f ca="1">IFERROR(ROWSDUMMYFUNCTION(IF(A1119="","",CONCATENATE("https://us.pandora.net/on/demandware.static/-/Sites-pandora-master-catalog/default/dwbb259ca6/productimages/singlepackshot/",LEFT(A1119,FIND("-",A1119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20" spans="1:4" x14ac:dyDescent="0.25">
      <c r="A1120" s="3" t="s">
        <v>1122</v>
      </c>
      <c r="B1120" s="4">
        <v>49</v>
      </c>
      <c r="C1120" s="3" t="str">
        <f ca="1">IFERROR(ROWSDUMMYFUNCTION(IF(A1120="","",IFERROR(IMAGE(CONCATENATE("https://us.pandora.net/on/demandware.static/-/Sites-pandora-master-catalog/default/dwbb259ca6/productimages/singlepackshot/",LEFT(A1120,FIND("-",A1120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20" s="5" t="str">
        <f ca="1">IFERROR(ROWSDUMMYFUNCTION(IF(A1120="","",CONCATENATE("https://us.pandora.net/on/demandware.static/-/Sites-pandora-master-catalog/default/dwbb259ca6/productimages/singlepackshot/",LEFT(A1120,FIND("-",A1120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21" spans="1:4" x14ac:dyDescent="0.25">
      <c r="A1121" s="3" t="s">
        <v>1123</v>
      </c>
      <c r="B1121" s="4">
        <v>49</v>
      </c>
      <c r="C1121" s="3" t="str">
        <f ca="1">IFERROR(ROWSDUMMYFUNCTION(IF(A1121="","",IFERROR(IMAGE(CONCATENATE("https://us.pandora.net/on/demandware.static/-/Sites-pandora-master-catalog/default/dwbb259ca6/productimages/singlepackshot/",LEFT(A1121,FIND("-",A1121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21" s="5" t="str">
        <f ca="1">IFERROR(ROWSDUMMYFUNCTION(IF(A1121="","",CONCATENATE("https://us.pandora.net/on/demandware.static/-/Sites-pandora-master-catalog/default/dwbb259ca6/productimages/singlepackshot/",LEFT(A1121,FIND("-",A1121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22" spans="1:4" x14ac:dyDescent="0.25">
      <c r="A1122" s="3" t="s">
        <v>1124</v>
      </c>
      <c r="B1122" s="4">
        <v>49</v>
      </c>
      <c r="C1122" s="3" t="str">
        <f ca="1">IFERROR(ROWSDUMMYFUNCTION(IF(A1122="","",IFERROR(IMAGE(CONCATENATE("https://us.pandora.net/on/demandware.static/-/Sites-pandora-master-catalog/default/dwbb259ca6/productimages/singlepackshot/",LEFT(A1122,FIND("-",A1122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22" s="5" t="str">
        <f ca="1">IFERROR(ROWSDUMMYFUNCTION(IF(A1122="","",CONCATENATE("https://us.pandora.net/on/demandware.static/-/Sites-pandora-master-catalog/default/dwbb259ca6/productimages/singlepackshot/",LEFT(A1122,FIND("-",A1122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23" spans="1:4" x14ac:dyDescent="0.25">
      <c r="A1123" s="3" t="s">
        <v>1125</v>
      </c>
      <c r="B1123" s="4">
        <v>49</v>
      </c>
      <c r="C1123" s="3" t="str">
        <f ca="1">IFERROR(ROWSDUMMYFUNCTION(IF(A1123="","",IFERROR(IMAGE(CONCATENATE("https://us.pandora.net/on/demandware.static/-/Sites-pandora-master-catalog/default/dwbb259ca6/productimages/singlepackshot/",LEFT(A1123,FIND("-",A1123&amp;"-")-1),"_RGB.png")),""))),"{""url"":""https://us.pandora.net/on/demandware.static/-/Sites-pandora-master-catalog/default/dwbb259ca6/productimages/singlepackshot/192993C07_RGB.png"",""mode"":1}")</f>
        <v>{"url":"https://us.pandora.net/on/demandware.static/-/Sites-pandora-master-catalog/default/dwbb259ca6/productimages/singlepackshot/192993C07_RGB.png","mode":1}</v>
      </c>
      <c r="D1123" s="5" t="str">
        <f ca="1">IFERROR(ROWSDUMMYFUNCTION(IF(A1123="","",CONCATENATE("https://us.pandora.net/on/demandware.static/-/Sites-pandora-master-catalog/default/dwbb259ca6/productimages/singlepackshot/",LEFT(A1123,FIND("-",A1123&amp;"-")-1),"_RGB.png"))),"https://us.pandora.net/on/demandware.static/-/Sites-pandora-master-catalog/default/dwbb259ca6/productimages/singlepackshot/192993C07_RGB.png")</f>
        <v>https://us.pandora.net/on/demandware.static/-/Sites-pandora-master-catalog/default/dwbb259ca6/productimages/singlepackshot/192993C07_RGB.png</v>
      </c>
    </row>
    <row r="1124" spans="1:4" x14ac:dyDescent="0.25">
      <c r="A1124" s="3" t="s">
        <v>1126</v>
      </c>
      <c r="B1124" s="4">
        <v>49</v>
      </c>
      <c r="C1124" s="3" t="str">
        <f ca="1">IFERROR(ROWSDUMMYFUNCTION(IF(A1124="","",IFERROR(IMAGE(CONCATENATE("https://us.pandora.net/on/demandware.static/-/Sites-pandora-master-catalog/default/dwbb259ca6/productimages/singlepackshot/",LEFT(A1124,FIND("-",A1124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24" s="5" t="str">
        <f ca="1">IFERROR(ROWSDUMMYFUNCTION(IF(A1124="","",CONCATENATE("https://us.pandora.net/on/demandware.static/-/Sites-pandora-master-catalog/default/dwbb259ca6/productimages/singlepackshot/",LEFT(A1124,FIND("-",A1124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25" spans="1:4" x14ac:dyDescent="0.25">
      <c r="A1125" s="3" t="s">
        <v>1127</v>
      </c>
      <c r="B1125" s="4">
        <v>49</v>
      </c>
      <c r="C1125" s="3" t="str">
        <f ca="1">IFERROR(ROWSDUMMYFUNCTION(IF(A1125="","",IFERROR(IMAGE(CONCATENATE("https://us.pandora.net/on/demandware.static/-/Sites-pandora-master-catalog/default/dwbb259ca6/productimages/singlepackshot/",LEFT(A1125,FIND("-",A1125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25" s="5" t="str">
        <f ca="1">IFERROR(ROWSDUMMYFUNCTION(IF(A1125="","",CONCATENATE("https://us.pandora.net/on/demandware.static/-/Sites-pandora-master-catalog/default/dwbb259ca6/productimages/singlepackshot/",LEFT(A1125,FIND("-",A1125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26" spans="1:4" x14ac:dyDescent="0.25">
      <c r="A1126" s="3" t="s">
        <v>1128</v>
      </c>
      <c r="B1126" s="4">
        <v>49</v>
      </c>
      <c r="C1126" s="3" t="str">
        <f ca="1">IFERROR(ROWSDUMMYFUNCTION(IF(A1126="","",IFERROR(IMAGE(CONCATENATE("https://us.pandora.net/on/demandware.static/-/Sites-pandora-master-catalog/default/dwbb259ca6/productimages/singlepackshot/",LEFT(A1126,FIND("-",A1126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26" s="5" t="str">
        <f ca="1">IFERROR(ROWSDUMMYFUNCTION(IF(A1126="","",CONCATENATE("https://us.pandora.net/on/demandware.static/-/Sites-pandora-master-catalog/default/dwbb259ca6/productimages/singlepackshot/",LEFT(A1126,FIND("-",A1126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27" spans="1:4" x14ac:dyDescent="0.25">
      <c r="A1127" s="3" t="s">
        <v>1129</v>
      </c>
      <c r="B1127" s="4">
        <v>49</v>
      </c>
      <c r="C1127" s="3" t="str">
        <f ca="1">IFERROR(ROWSDUMMYFUNCTION(IF(A1127="","",IFERROR(IMAGE(CONCATENATE("https://us.pandora.net/on/demandware.static/-/Sites-pandora-master-catalog/default/dwbb259ca6/productimages/singlepackshot/",LEFT(A1127,FIND("-",A1127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27" s="5" t="str">
        <f ca="1">IFERROR(ROWSDUMMYFUNCTION(IF(A1127="","",CONCATENATE("https://us.pandora.net/on/demandware.static/-/Sites-pandora-master-catalog/default/dwbb259ca6/productimages/singlepackshot/",LEFT(A1127,FIND("-",A1127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28" spans="1:4" x14ac:dyDescent="0.25">
      <c r="A1128" s="3" t="s">
        <v>1130</v>
      </c>
      <c r="B1128" s="4">
        <v>49</v>
      </c>
      <c r="C1128" s="3" t="str">
        <f ca="1">IFERROR(ROWSDUMMYFUNCTION(IF(A1128="","",IFERROR(IMAGE(CONCATENATE("https://us.pandora.net/on/demandware.static/-/Sites-pandora-master-catalog/default/dwbb259ca6/productimages/singlepackshot/",LEFT(A1128,FIND("-",A1128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28" s="5" t="str">
        <f ca="1">IFERROR(ROWSDUMMYFUNCTION(IF(A1128="","",CONCATENATE("https://us.pandora.net/on/demandware.static/-/Sites-pandora-master-catalog/default/dwbb259ca6/productimages/singlepackshot/",LEFT(A1128,FIND("-",A1128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29" spans="1:4" x14ac:dyDescent="0.25">
      <c r="A1129" s="3" t="s">
        <v>1131</v>
      </c>
      <c r="B1129" s="4">
        <v>49</v>
      </c>
      <c r="C1129" s="3" t="str">
        <f ca="1">IFERROR(ROWSDUMMYFUNCTION(IF(A1129="","",IFERROR(IMAGE(CONCATENATE("https://us.pandora.net/on/demandware.static/-/Sites-pandora-master-catalog/default/dwbb259ca6/productimages/singlepackshot/",LEFT(A1129,FIND("-",A1129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29" s="5" t="str">
        <f ca="1">IFERROR(ROWSDUMMYFUNCTION(IF(A1129="","",CONCATENATE("https://us.pandora.net/on/demandware.static/-/Sites-pandora-master-catalog/default/dwbb259ca6/productimages/singlepackshot/",LEFT(A1129,FIND("-",A1129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30" spans="1:4" x14ac:dyDescent="0.25">
      <c r="A1130" s="3" t="s">
        <v>1132</v>
      </c>
      <c r="B1130" s="4">
        <v>49</v>
      </c>
      <c r="C1130" s="3" t="str">
        <f ca="1">IFERROR(ROWSDUMMYFUNCTION(IF(A1130="","",IFERROR(IMAGE(CONCATENATE("https://us.pandora.net/on/demandware.static/-/Sites-pandora-master-catalog/default/dwbb259ca6/productimages/singlepackshot/",LEFT(A1130,FIND("-",A1130&amp;"-")-1),"_RGB.png")),""))),"{""url"":""https://us.pandora.net/on/demandware.static/-/Sites-pandora-master-catalog/default/dwbb259ca6/productimages/singlepackshot/192993C09_RGB.png"",""mode"":1}")</f>
        <v>{"url":"https://us.pandora.net/on/demandware.static/-/Sites-pandora-master-catalog/default/dwbb259ca6/productimages/singlepackshot/192993C09_RGB.png","mode":1}</v>
      </c>
      <c r="D1130" s="5" t="str">
        <f ca="1">IFERROR(ROWSDUMMYFUNCTION(IF(A1130="","",CONCATENATE("https://us.pandora.net/on/demandware.static/-/Sites-pandora-master-catalog/default/dwbb259ca6/productimages/singlepackshot/",LEFT(A1130,FIND("-",A1130&amp;"-")-1),"_RGB.png"))),"https://us.pandora.net/on/demandware.static/-/Sites-pandora-master-catalog/default/dwbb259ca6/productimages/singlepackshot/192993C09_RGB.png")</f>
        <v>https://us.pandora.net/on/demandware.static/-/Sites-pandora-master-catalog/default/dwbb259ca6/productimages/singlepackshot/192993C09_RGB.png</v>
      </c>
    </row>
    <row r="1131" spans="1:4" x14ac:dyDescent="0.25">
      <c r="A1131" s="3" t="s">
        <v>1133</v>
      </c>
      <c r="B1131" s="4">
        <v>49</v>
      </c>
      <c r="C1131" s="3" t="str">
        <f ca="1">IFERROR(ROWSDUMMYFUNCTION(IF(A1131="","",IFERROR(IMAGE(CONCATENATE("https://us.pandora.net/on/demandware.static/-/Sites-pandora-master-catalog/default/dwbb259ca6/productimages/singlepackshot/",LEFT(A1131,FIND("-",A1131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1" s="5" t="str">
        <f ca="1">IFERROR(ROWSDUMMYFUNCTION(IF(A1131="","",CONCATENATE("https://us.pandora.net/on/demandware.static/-/Sites-pandora-master-catalog/default/dwbb259ca6/productimages/singlepackshot/",LEFT(A1131,FIND("-",A1131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2" spans="1:4" x14ac:dyDescent="0.25">
      <c r="A1132" s="3" t="s">
        <v>1134</v>
      </c>
      <c r="B1132" s="4">
        <v>49</v>
      </c>
      <c r="C1132" s="3" t="str">
        <f ca="1">IFERROR(ROWSDUMMYFUNCTION(IF(A1132="","",IFERROR(IMAGE(CONCATENATE("https://us.pandora.net/on/demandware.static/-/Sites-pandora-master-catalog/default/dwbb259ca6/productimages/singlepackshot/",LEFT(A1132,FIND("-",A1132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2" s="5" t="str">
        <f ca="1">IFERROR(ROWSDUMMYFUNCTION(IF(A1132="","",CONCATENATE("https://us.pandora.net/on/demandware.static/-/Sites-pandora-master-catalog/default/dwbb259ca6/productimages/singlepackshot/",LEFT(A1132,FIND("-",A1132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3" spans="1:4" x14ac:dyDescent="0.25">
      <c r="A1133" s="3" t="s">
        <v>1135</v>
      </c>
      <c r="B1133" s="4">
        <v>49</v>
      </c>
      <c r="C1133" s="3" t="str">
        <f ca="1">IFERROR(ROWSDUMMYFUNCTION(IF(A1133="","",IFERROR(IMAGE(CONCATENATE("https://us.pandora.net/on/demandware.static/-/Sites-pandora-master-catalog/default/dwbb259ca6/productimages/singlepackshot/",LEFT(A1133,FIND("-",A1133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3" s="5" t="str">
        <f ca="1">IFERROR(ROWSDUMMYFUNCTION(IF(A1133="","",CONCATENATE("https://us.pandora.net/on/demandware.static/-/Sites-pandora-master-catalog/default/dwbb259ca6/productimages/singlepackshot/",LEFT(A1133,FIND("-",A1133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4" spans="1:4" x14ac:dyDescent="0.25">
      <c r="A1134" s="3" t="s">
        <v>1136</v>
      </c>
      <c r="B1134" s="4">
        <v>49</v>
      </c>
      <c r="C1134" s="3" t="str">
        <f ca="1">IFERROR(ROWSDUMMYFUNCTION(IF(A1134="","",IFERROR(IMAGE(CONCATENATE("https://us.pandora.net/on/demandware.static/-/Sites-pandora-master-catalog/default/dwbb259ca6/productimages/singlepackshot/",LEFT(A1134,FIND("-",A1134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4" s="5" t="str">
        <f ca="1">IFERROR(ROWSDUMMYFUNCTION(IF(A1134="","",CONCATENATE("https://us.pandora.net/on/demandware.static/-/Sites-pandora-master-catalog/default/dwbb259ca6/productimages/singlepackshot/",LEFT(A1134,FIND("-",A1134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5" spans="1:4" x14ac:dyDescent="0.25">
      <c r="A1135" s="3" t="s">
        <v>1137</v>
      </c>
      <c r="B1135" s="4">
        <v>49</v>
      </c>
      <c r="C1135" s="3" t="str">
        <f ca="1">IFERROR(ROWSDUMMYFUNCTION(IF(A1135="","",IFERROR(IMAGE(CONCATENATE("https://us.pandora.net/on/demandware.static/-/Sites-pandora-master-catalog/default/dwbb259ca6/productimages/singlepackshot/",LEFT(A1135,FIND("-",A1135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5" s="5" t="str">
        <f ca="1">IFERROR(ROWSDUMMYFUNCTION(IF(A1135="","",CONCATENATE("https://us.pandora.net/on/demandware.static/-/Sites-pandora-master-catalog/default/dwbb259ca6/productimages/singlepackshot/",LEFT(A1135,FIND("-",A1135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6" spans="1:4" x14ac:dyDescent="0.25">
      <c r="A1136" s="3" t="s">
        <v>1138</v>
      </c>
      <c r="B1136" s="4">
        <v>49</v>
      </c>
      <c r="C1136" s="3" t="str">
        <f ca="1">IFERROR(ROWSDUMMYFUNCTION(IF(A1136="","",IFERROR(IMAGE(CONCATENATE("https://us.pandora.net/on/demandware.static/-/Sites-pandora-master-catalog/default/dwbb259ca6/productimages/singlepackshot/",LEFT(A1136,FIND("-",A1136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6" s="5" t="str">
        <f ca="1">IFERROR(ROWSDUMMYFUNCTION(IF(A1136="","",CONCATENATE("https://us.pandora.net/on/demandware.static/-/Sites-pandora-master-catalog/default/dwbb259ca6/productimages/singlepackshot/",LEFT(A1136,FIND("-",A1136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7" spans="1:4" x14ac:dyDescent="0.25">
      <c r="A1137" s="3" t="s">
        <v>1139</v>
      </c>
      <c r="B1137" s="4">
        <v>49</v>
      </c>
      <c r="C1137" s="3" t="str">
        <f ca="1">IFERROR(ROWSDUMMYFUNCTION(IF(A1137="","",IFERROR(IMAGE(CONCATENATE("https://us.pandora.net/on/demandware.static/-/Sites-pandora-master-catalog/default/dwbb259ca6/productimages/singlepackshot/",LEFT(A1137,FIND("-",A1137&amp;"-")-1),"_RGB.png")),""))),"{""url"":""https://us.pandora.net/on/demandware.static/-/Sites-pandora-master-catalog/default/dwbb259ca6/productimages/singlepackshot/192993C10_RGB.png"",""mode"":1}")</f>
        <v>{"url":"https://us.pandora.net/on/demandware.static/-/Sites-pandora-master-catalog/default/dwbb259ca6/productimages/singlepackshot/192993C10_RGB.png","mode":1}</v>
      </c>
      <c r="D1137" s="5" t="str">
        <f ca="1">IFERROR(ROWSDUMMYFUNCTION(IF(A1137="","",CONCATENATE("https://us.pandora.net/on/demandware.static/-/Sites-pandora-master-catalog/default/dwbb259ca6/productimages/singlepackshot/",LEFT(A1137,FIND("-",A1137&amp;"-")-1),"_RGB.png"))),"https://us.pandora.net/on/demandware.static/-/Sites-pandora-master-catalog/default/dwbb259ca6/productimages/singlepackshot/192993C10_RGB.png")</f>
        <v>https://us.pandora.net/on/demandware.static/-/Sites-pandora-master-catalog/default/dwbb259ca6/productimages/singlepackshot/192993C10_RGB.png</v>
      </c>
    </row>
    <row r="1138" spans="1:4" x14ac:dyDescent="0.25">
      <c r="A1138" s="3" t="s">
        <v>1140</v>
      </c>
      <c r="B1138" s="4">
        <v>49</v>
      </c>
      <c r="C1138" s="3" t="str">
        <f ca="1">IFERROR(ROWSDUMMYFUNCTION(IF(A1138="","",IFERROR(IMAGE(CONCATENATE("https://us.pandora.net/on/demandware.static/-/Sites-pandora-master-catalog/default/dwbb259ca6/productimages/singlepackshot/",LEFT(A1138,FIND("-",A1138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38" s="5" t="str">
        <f ca="1">IFERROR(ROWSDUMMYFUNCTION(IF(A1138="","",CONCATENATE("https://us.pandora.net/on/demandware.static/-/Sites-pandora-master-catalog/default/dwbb259ca6/productimages/singlepackshot/",LEFT(A1138,FIND("-",A1138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39" spans="1:4" x14ac:dyDescent="0.25">
      <c r="A1139" s="3" t="s">
        <v>1141</v>
      </c>
      <c r="B1139" s="4">
        <v>49</v>
      </c>
      <c r="C1139" s="3" t="str">
        <f ca="1">IFERROR(ROWSDUMMYFUNCTION(IF(A1139="","",IFERROR(IMAGE(CONCATENATE("https://us.pandora.net/on/demandware.static/-/Sites-pandora-master-catalog/default/dwbb259ca6/productimages/singlepackshot/",LEFT(A1139,FIND("-",A1139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39" s="5" t="str">
        <f ca="1">IFERROR(ROWSDUMMYFUNCTION(IF(A1139="","",CONCATENATE("https://us.pandora.net/on/demandware.static/-/Sites-pandora-master-catalog/default/dwbb259ca6/productimages/singlepackshot/",LEFT(A1139,FIND("-",A1139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40" spans="1:4" x14ac:dyDescent="0.25">
      <c r="A1140" s="3" t="s">
        <v>1142</v>
      </c>
      <c r="B1140" s="4">
        <v>49</v>
      </c>
      <c r="C1140" s="3" t="str">
        <f ca="1">IFERROR(ROWSDUMMYFUNCTION(IF(A1140="","",IFERROR(IMAGE(CONCATENATE("https://us.pandora.net/on/demandware.static/-/Sites-pandora-master-catalog/default/dwbb259ca6/productimages/singlepackshot/",LEFT(A1140,FIND("-",A1140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40" s="5" t="str">
        <f ca="1">IFERROR(ROWSDUMMYFUNCTION(IF(A1140="","",CONCATENATE("https://us.pandora.net/on/demandware.static/-/Sites-pandora-master-catalog/default/dwbb259ca6/productimages/singlepackshot/",LEFT(A1140,FIND("-",A1140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41" spans="1:4" x14ac:dyDescent="0.25">
      <c r="A1141" s="3" t="s">
        <v>1143</v>
      </c>
      <c r="B1141" s="4">
        <v>49</v>
      </c>
      <c r="C1141" s="3" t="str">
        <f ca="1">IFERROR(ROWSDUMMYFUNCTION(IF(A1141="","",IFERROR(IMAGE(CONCATENATE("https://us.pandora.net/on/demandware.static/-/Sites-pandora-master-catalog/default/dwbb259ca6/productimages/singlepackshot/",LEFT(A1141,FIND("-",A1141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41" s="5" t="str">
        <f ca="1">IFERROR(ROWSDUMMYFUNCTION(IF(A1141="","",CONCATENATE("https://us.pandora.net/on/demandware.static/-/Sites-pandora-master-catalog/default/dwbb259ca6/productimages/singlepackshot/",LEFT(A1141,FIND("-",A1141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42" spans="1:4" x14ac:dyDescent="0.25">
      <c r="A1142" s="3" t="s">
        <v>1144</v>
      </c>
      <c r="B1142" s="4">
        <v>49</v>
      </c>
      <c r="C1142" s="3" t="str">
        <f ca="1">IFERROR(ROWSDUMMYFUNCTION(IF(A1142="","",IFERROR(IMAGE(CONCATENATE("https://us.pandora.net/on/demandware.static/-/Sites-pandora-master-catalog/default/dwbb259ca6/productimages/singlepackshot/",LEFT(A1142,FIND("-",A1142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42" s="5" t="str">
        <f ca="1">IFERROR(ROWSDUMMYFUNCTION(IF(A1142="","",CONCATENATE("https://us.pandora.net/on/demandware.static/-/Sites-pandora-master-catalog/default/dwbb259ca6/productimages/singlepackshot/",LEFT(A1142,FIND("-",A1142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43" spans="1:4" x14ac:dyDescent="0.25">
      <c r="A1143" s="3" t="s">
        <v>1145</v>
      </c>
      <c r="B1143" s="4">
        <v>49</v>
      </c>
      <c r="C1143" s="3" t="str">
        <f ca="1">IFERROR(ROWSDUMMYFUNCTION(IF(A1143="","",IFERROR(IMAGE(CONCATENATE("https://us.pandora.net/on/demandware.static/-/Sites-pandora-master-catalog/default/dwbb259ca6/productimages/singlepackshot/",LEFT(A1143,FIND("-",A1143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43" s="5" t="str">
        <f ca="1">IFERROR(ROWSDUMMYFUNCTION(IF(A1143="","",CONCATENATE("https://us.pandora.net/on/demandware.static/-/Sites-pandora-master-catalog/default/dwbb259ca6/productimages/singlepackshot/",LEFT(A1143,FIND("-",A1143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44" spans="1:4" x14ac:dyDescent="0.25">
      <c r="A1144" s="3" t="s">
        <v>1146</v>
      </c>
      <c r="B1144" s="4">
        <v>49</v>
      </c>
      <c r="C1144" s="3" t="str">
        <f ca="1">IFERROR(ROWSDUMMYFUNCTION(IF(A1144="","",IFERROR(IMAGE(CONCATENATE("https://us.pandora.net/on/demandware.static/-/Sites-pandora-master-catalog/default/dwbb259ca6/productimages/singlepackshot/",LEFT(A1144,FIND("-",A1144&amp;"-")-1),"_RGB.png")),""))),"{""url"":""https://us.pandora.net/on/demandware.static/-/Sites-pandora-master-catalog/default/dwbb259ca6/productimages/singlepackshot/192993C12_RGB.png"",""mode"":1}")</f>
        <v>{"url":"https://us.pandora.net/on/demandware.static/-/Sites-pandora-master-catalog/default/dwbb259ca6/productimages/singlepackshot/192993C12_RGB.png","mode":1}</v>
      </c>
      <c r="D1144" s="5" t="str">
        <f ca="1">IFERROR(ROWSDUMMYFUNCTION(IF(A1144="","",CONCATENATE("https://us.pandora.net/on/demandware.static/-/Sites-pandora-master-catalog/default/dwbb259ca6/productimages/singlepackshot/",LEFT(A1144,FIND("-",A1144&amp;"-")-1),"_RGB.png"))),"https://us.pandora.net/on/demandware.static/-/Sites-pandora-master-catalog/default/dwbb259ca6/productimages/singlepackshot/192993C12_RGB.png")</f>
        <v>https://us.pandora.net/on/demandware.static/-/Sites-pandora-master-catalog/default/dwbb259ca6/productimages/singlepackshot/192993C12_RGB.png</v>
      </c>
    </row>
    <row r="1145" spans="1:4" x14ac:dyDescent="0.25">
      <c r="A1145" s="3" t="s">
        <v>1147</v>
      </c>
      <c r="B1145" s="4">
        <v>39</v>
      </c>
      <c r="C1145" s="3" t="str">
        <f ca="1">IFERROR(ROWSDUMMYFUNCTION(IF(A1145="","",IFERROR(IMAGE(CONCATENATE("https://us.pandora.net/on/demandware.static/-/Sites-pandora-master-catalog/default/dwbb259ca6/productimages/singlepackshot/",LEFT(A1145,FIND("-",A1145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45" s="5" t="str">
        <f ca="1">IFERROR(ROWSDUMMYFUNCTION(IF(A1145="","",CONCATENATE("https://us.pandora.net/on/demandware.static/-/Sites-pandora-master-catalog/default/dwbb259ca6/productimages/singlepackshot/",LEFT(A1145,FIND("-",A1145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46" spans="1:4" x14ac:dyDescent="0.25">
      <c r="A1146" s="3" t="s">
        <v>1148</v>
      </c>
      <c r="B1146" s="4">
        <v>39</v>
      </c>
      <c r="C1146" s="3" t="str">
        <f ca="1">IFERROR(ROWSDUMMYFUNCTION(IF(A1146="","",IFERROR(IMAGE(CONCATENATE("https://us.pandora.net/on/demandware.static/-/Sites-pandora-master-catalog/default/dwbb259ca6/productimages/singlepackshot/",LEFT(A1146,FIND("-",A1146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46" s="5" t="str">
        <f ca="1">IFERROR(ROWSDUMMYFUNCTION(IF(A1146="","",CONCATENATE("https://us.pandora.net/on/demandware.static/-/Sites-pandora-master-catalog/default/dwbb259ca6/productimages/singlepackshot/",LEFT(A1146,FIND("-",A1146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47" spans="1:4" x14ac:dyDescent="0.25">
      <c r="A1147" s="3" t="s">
        <v>1149</v>
      </c>
      <c r="B1147" s="4">
        <v>39</v>
      </c>
      <c r="C1147" s="3" t="str">
        <f ca="1">IFERROR(ROWSDUMMYFUNCTION(IF(A1147="","",IFERROR(IMAGE(CONCATENATE("https://us.pandora.net/on/demandware.static/-/Sites-pandora-master-catalog/default/dwbb259ca6/productimages/singlepackshot/",LEFT(A1147,FIND("-",A1147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47" s="5" t="str">
        <f ca="1">IFERROR(ROWSDUMMYFUNCTION(IF(A1147="","",CONCATENATE("https://us.pandora.net/on/demandware.static/-/Sites-pandora-master-catalog/default/dwbb259ca6/productimages/singlepackshot/",LEFT(A1147,FIND("-",A1147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48" spans="1:4" x14ac:dyDescent="0.25">
      <c r="A1148" s="3" t="s">
        <v>1150</v>
      </c>
      <c r="B1148" s="4">
        <v>39</v>
      </c>
      <c r="C1148" s="3" t="str">
        <f ca="1">IFERROR(ROWSDUMMYFUNCTION(IF(A1148="","",IFERROR(IMAGE(CONCATENATE("https://us.pandora.net/on/demandware.static/-/Sites-pandora-master-catalog/default/dwbb259ca6/productimages/singlepackshot/",LEFT(A1148,FIND("-",A1148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48" s="5" t="str">
        <f ca="1">IFERROR(ROWSDUMMYFUNCTION(IF(A1148="","",CONCATENATE("https://us.pandora.net/on/demandware.static/-/Sites-pandora-master-catalog/default/dwbb259ca6/productimages/singlepackshot/",LEFT(A1148,FIND("-",A1148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49" spans="1:4" x14ac:dyDescent="0.25">
      <c r="A1149" s="3" t="s">
        <v>1151</v>
      </c>
      <c r="B1149" s="4">
        <v>39</v>
      </c>
      <c r="C1149" s="3" t="str">
        <f ca="1">IFERROR(ROWSDUMMYFUNCTION(IF(A1149="","",IFERROR(IMAGE(CONCATENATE("https://us.pandora.net/on/demandware.static/-/Sites-pandora-master-catalog/default/dwbb259ca6/productimages/singlepackshot/",LEFT(A1149,FIND("-",A1149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49" s="5" t="str">
        <f ca="1">IFERROR(ROWSDUMMYFUNCTION(IF(A1149="","",CONCATENATE("https://us.pandora.net/on/demandware.static/-/Sites-pandora-master-catalog/default/dwbb259ca6/productimages/singlepackshot/",LEFT(A1149,FIND("-",A1149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0" spans="1:4" x14ac:dyDescent="0.25">
      <c r="A1150" s="3" t="s">
        <v>1152</v>
      </c>
      <c r="B1150" s="4">
        <v>39</v>
      </c>
      <c r="C1150" s="3" t="str">
        <f ca="1">IFERROR(ROWSDUMMYFUNCTION(IF(A1150="","",IFERROR(IMAGE(CONCATENATE("https://us.pandora.net/on/demandware.static/-/Sites-pandora-master-catalog/default/dwbb259ca6/productimages/singlepackshot/",LEFT(A1150,FIND("-",A1150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50" s="5" t="str">
        <f ca="1">IFERROR(ROWSDUMMYFUNCTION(IF(A1150="","",CONCATENATE("https://us.pandora.net/on/demandware.static/-/Sites-pandora-master-catalog/default/dwbb259ca6/productimages/singlepackshot/",LEFT(A1150,FIND("-",A1150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1" spans="1:4" x14ac:dyDescent="0.25">
      <c r="A1151" s="3" t="s">
        <v>1153</v>
      </c>
      <c r="B1151" s="4">
        <v>39</v>
      </c>
      <c r="C1151" s="3" t="str">
        <f ca="1">IFERROR(ROWSDUMMYFUNCTION(IF(A1151="","",IFERROR(IMAGE(CONCATENATE("https://us.pandora.net/on/demandware.static/-/Sites-pandora-master-catalog/default/dwbb259ca6/productimages/singlepackshot/",LEFT(A1151,FIND("-",A1151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51" s="5" t="str">
        <f ca="1">IFERROR(ROWSDUMMYFUNCTION(IF(A1151="","",CONCATENATE("https://us.pandora.net/on/demandware.static/-/Sites-pandora-master-catalog/default/dwbb259ca6/productimages/singlepackshot/",LEFT(A1151,FIND("-",A1151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2" spans="1:4" x14ac:dyDescent="0.25">
      <c r="A1152" s="3" t="s">
        <v>1154</v>
      </c>
      <c r="B1152" s="4">
        <v>39</v>
      </c>
      <c r="C1152" s="3" t="str">
        <f ca="1">IFERROR(ROWSDUMMYFUNCTION(IF(A1152="","",IFERROR(IMAGE(CONCATENATE("https://us.pandora.net/on/demandware.static/-/Sites-pandora-master-catalog/default/dwbb259ca6/productimages/singlepackshot/",LEFT(A1152,FIND("-",A1152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52" s="5" t="str">
        <f ca="1">IFERROR(ROWSDUMMYFUNCTION(IF(A1152="","",CONCATENATE("https://us.pandora.net/on/demandware.static/-/Sites-pandora-master-catalog/default/dwbb259ca6/productimages/singlepackshot/",LEFT(A1152,FIND("-",A1152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3" spans="1:4" x14ac:dyDescent="0.25">
      <c r="A1153" s="3" t="s">
        <v>1155</v>
      </c>
      <c r="B1153" s="4">
        <v>39</v>
      </c>
      <c r="C1153" s="3" t="str">
        <f ca="1">IFERROR(ROWSDUMMYFUNCTION(IF(A1153="","",IFERROR(IMAGE(CONCATENATE("https://us.pandora.net/on/demandware.static/-/Sites-pandora-master-catalog/default/dwbb259ca6/productimages/singlepackshot/",LEFT(A1153,FIND("-",A1153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53" s="5" t="str">
        <f ca="1">IFERROR(ROWSDUMMYFUNCTION(IF(A1153="","",CONCATENATE("https://us.pandora.net/on/demandware.static/-/Sites-pandora-master-catalog/default/dwbb259ca6/productimages/singlepackshot/",LEFT(A1153,FIND("-",A1153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4" spans="1:4" x14ac:dyDescent="0.25">
      <c r="A1154" s="3" t="s">
        <v>1156</v>
      </c>
      <c r="B1154" s="4">
        <v>39</v>
      </c>
      <c r="C1154" s="3" t="str">
        <f ca="1">IFERROR(ROWSDUMMYFUNCTION(IF(A1154="","",IFERROR(IMAGE(CONCATENATE("https://us.pandora.net/on/demandware.static/-/Sites-pandora-master-catalog/default/dwbb259ca6/productimages/singlepackshot/",LEFT(A1154,FIND("-",A1154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54" s="5" t="str">
        <f ca="1">IFERROR(ROWSDUMMYFUNCTION(IF(A1154="","",CONCATENATE("https://us.pandora.net/on/demandware.static/-/Sites-pandora-master-catalog/default/dwbb259ca6/productimages/singlepackshot/",LEFT(A1154,FIND("-",A1154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5" spans="1:4" x14ac:dyDescent="0.25">
      <c r="A1155" s="3" t="s">
        <v>1157</v>
      </c>
      <c r="B1155" s="4">
        <v>39</v>
      </c>
      <c r="C1155" s="3" t="str">
        <f ca="1">IFERROR(ROWSDUMMYFUNCTION(IF(A1155="","",IFERROR(IMAGE(CONCATENATE("https://us.pandora.net/on/demandware.static/-/Sites-pandora-master-catalog/default/dwbb259ca6/productimages/singlepackshot/",LEFT(A1155,FIND("-",A1155&amp;"-")-1),"_RGB.png")),""))),"{""url"":""https://us.pandora.net/on/demandware.static/-/Sites-pandora-master-catalog/default/dwbb259ca6/productimages/singlepackshot/192999C01_RGB.png"",""mode"":1}")</f>
        <v>{"url":"https://us.pandora.net/on/demandware.static/-/Sites-pandora-master-catalog/default/dwbb259ca6/productimages/singlepackshot/192999C01_RGB.png","mode":1}</v>
      </c>
      <c r="D1155" s="5" t="str">
        <f ca="1">IFERROR(ROWSDUMMYFUNCTION(IF(A1155="","",CONCATENATE("https://us.pandora.net/on/demandware.static/-/Sites-pandora-master-catalog/default/dwbb259ca6/productimages/singlepackshot/",LEFT(A1155,FIND("-",A1155&amp;"-")-1),"_RGB.png"))),"https://us.pandora.net/on/demandware.static/-/Sites-pandora-master-catalog/default/dwbb259ca6/productimages/singlepackshot/192999C01_RGB.png")</f>
        <v>https://us.pandora.net/on/demandware.static/-/Sites-pandora-master-catalog/default/dwbb259ca6/productimages/singlepackshot/192999C01_RGB.png</v>
      </c>
    </row>
    <row r="1156" spans="1:4" x14ac:dyDescent="0.25">
      <c r="A1156" s="3" t="s">
        <v>1158</v>
      </c>
      <c r="B1156" s="4">
        <v>89</v>
      </c>
      <c r="C1156" s="3" t="str">
        <f ca="1">IFERROR(ROWSDUMMYFUNCTION(IF(A1156="","",IFERROR(IMAGE(CONCATENATE("https://us.pandora.net/on/demandware.static/-/Sites-pandora-master-catalog/default/dwbb259ca6/productimages/singlepackshot/",LEFT(A1156,FIND("-",A1156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56" s="5" t="str">
        <f ca="1">IFERROR(ROWSDUMMYFUNCTION(IF(A1156="","",CONCATENATE("https://us.pandora.net/on/demandware.static/-/Sites-pandora-master-catalog/default/dwbb259ca6/productimages/singlepackshot/",LEFT(A1156,FIND("-",A1156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57" spans="1:4" x14ac:dyDescent="0.25">
      <c r="A1157" s="3" t="s">
        <v>1159</v>
      </c>
      <c r="B1157" s="4">
        <v>89</v>
      </c>
      <c r="C1157" s="3" t="str">
        <f ca="1">IFERROR(ROWSDUMMYFUNCTION(IF(A1157="","",IFERROR(IMAGE(CONCATENATE("https://us.pandora.net/on/demandware.static/-/Sites-pandora-master-catalog/default/dwbb259ca6/productimages/singlepackshot/",LEFT(A1157,FIND("-",A1157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57" s="5" t="str">
        <f ca="1">IFERROR(ROWSDUMMYFUNCTION(IF(A1157="","",CONCATENATE("https://us.pandora.net/on/demandware.static/-/Sites-pandora-master-catalog/default/dwbb259ca6/productimages/singlepackshot/",LEFT(A1157,FIND("-",A1157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58" spans="1:4" x14ac:dyDescent="0.25">
      <c r="A1158" s="3" t="s">
        <v>1160</v>
      </c>
      <c r="B1158" s="4">
        <v>89</v>
      </c>
      <c r="C1158" s="3" t="str">
        <f ca="1">IFERROR(ROWSDUMMYFUNCTION(IF(A1158="","",IFERROR(IMAGE(CONCATENATE("https://us.pandora.net/on/demandware.static/-/Sites-pandora-master-catalog/default/dwbb259ca6/productimages/singlepackshot/",LEFT(A1158,FIND("-",A1158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58" s="5" t="str">
        <f ca="1">IFERROR(ROWSDUMMYFUNCTION(IF(A1158="","",CONCATENATE("https://us.pandora.net/on/demandware.static/-/Sites-pandora-master-catalog/default/dwbb259ca6/productimages/singlepackshot/",LEFT(A1158,FIND("-",A1158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59" spans="1:4" x14ac:dyDescent="0.25">
      <c r="A1159" s="3" t="s">
        <v>1161</v>
      </c>
      <c r="B1159" s="4">
        <v>89</v>
      </c>
      <c r="C1159" s="3" t="str">
        <f ca="1">IFERROR(ROWSDUMMYFUNCTION(IF(A1159="","",IFERROR(IMAGE(CONCATENATE("https://us.pandora.net/on/demandware.static/-/Sites-pandora-master-catalog/default/dwbb259ca6/productimages/singlepackshot/",LEFT(A1159,FIND("-",A1159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59" s="5" t="str">
        <f ca="1">IFERROR(ROWSDUMMYFUNCTION(IF(A1159="","",CONCATENATE("https://us.pandora.net/on/demandware.static/-/Sites-pandora-master-catalog/default/dwbb259ca6/productimages/singlepackshot/",LEFT(A1159,FIND("-",A1159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60" spans="1:4" x14ac:dyDescent="0.25">
      <c r="A1160" s="3" t="s">
        <v>1162</v>
      </c>
      <c r="B1160" s="4">
        <v>89</v>
      </c>
      <c r="C1160" s="3" t="str">
        <f ca="1">IFERROR(ROWSDUMMYFUNCTION(IF(A1160="","",IFERROR(IMAGE(CONCATENATE("https://us.pandora.net/on/demandware.static/-/Sites-pandora-master-catalog/default/dwbb259ca6/productimages/singlepackshot/",LEFT(A1160,FIND("-",A1160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60" s="5" t="str">
        <f ca="1">IFERROR(ROWSDUMMYFUNCTION(IF(A1160="","",CONCATENATE("https://us.pandora.net/on/demandware.static/-/Sites-pandora-master-catalog/default/dwbb259ca6/productimages/singlepackshot/",LEFT(A1160,FIND("-",A1160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61" spans="1:4" x14ac:dyDescent="0.25">
      <c r="A1161" s="3" t="s">
        <v>1163</v>
      </c>
      <c r="B1161" s="4">
        <v>89</v>
      </c>
      <c r="C1161" s="3" t="str">
        <f ca="1">IFERROR(ROWSDUMMYFUNCTION(IF(A1161="","",IFERROR(IMAGE(CONCATENATE("https://us.pandora.net/on/demandware.static/-/Sites-pandora-master-catalog/default/dwbb259ca6/productimages/singlepackshot/",LEFT(A1161,FIND("-",A1161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61" s="5" t="str">
        <f ca="1">IFERROR(ROWSDUMMYFUNCTION(IF(A1161="","",CONCATENATE("https://us.pandora.net/on/demandware.static/-/Sites-pandora-master-catalog/default/dwbb259ca6/productimages/singlepackshot/",LEFT(A1161,FIND("-",A1161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62" spans="1:4" x14ac:dyDescent="0.25">
      <c r="A1162" s="3" t="s">
        <v>1164</v>
      </c>
      <c r="B1162" s="4">
        <v>89</v>
      </c>
      <c r="C1162" s="3" t="str">
        <f ca="1">IFERROR(ROWSDUMMYFUNCTION(IF(A1162="","",IFERROR(IMAGE(CONCATENATE("https://us.pandora.net/on/demandware.static/-/Sites-pandora-master-catalog/default/dwbb259ca6/productimages/singlepackshot/",LEFT(A1162,FIND("-",A1162&amp;"-")-1),"_RGB.png")),""))),"{""url"":""https://us.pandora.net/on/demandware.static/-/Sites-pandora-master-catalog/default/dwbb259ca6/productimages/singlepackshot/193000C01_RGB.png"",""mode"":1}")</f>
        <v>{"url":"https://us.pandora.net/on/demandware.static/-/Sites-pandora-master-catalog/default/dwbb259ca6/productimages/singlepackshot/193000C01_RGB.png","mode":1}</v>
      </c>
      <c r="D1162" s="5" t="str">
        <f ca="1">IFERROR(ROWSDUMMYFUNCTION(IF(A1162="","",CONCATENATE("https://us.pandora.net/on/demandware.static/-/Sites-pandora-master-catalog/default/dwbb259ca6/productimages/singlepackshot/",LEFT(A1162,FIND("-",A1162&amp;"-")-1),"_RGB.png"))),"https://us.pandora.net/on/demandware.static/-/Sites-pandora-master-catalog/default/dwbb259ca6/productimages/singlepackshot/193000C01_RGB.png")</f>
        <v>https://us.pandora.net/on/demandware.static/-/Sites-pandora-master-catalog/default/dwbb259ca6/productimages/singlepackshot/193000C01_RGB.png</v>
      </c>
    </row>
    <row r="1163" spans="1:4" x14ac:dyDescent="0.25">
      <c r="A1163" s="3" t="s">
        <v>1165</v>
      </c>
      <c r="B1163" s="4">
        <v>89</v>
      </c>
      <c r="C1163" s="3" t="str">
        <f ca="1">IFERROR(ROWSDUMMYFUNCTION(IF(A1163="","",IFERROR(IMAGE(CONCATENATE("https://us.pandora.net/on/demandware.static/-/Sites-pandora-master-catalog/default/dwbb259ca6/productimages/singlepackshot/",LEFT(A1163,FIND("-",A1163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3" s="5" t="str">
        <f ca="1">IFERROR(ROWSDUMMYFUNCTION(IF(A1163="","",CONCATENATE("https://us.pandora.net/on/demandware.static/-/Sites-pandora-master-catalog/default/dwbb259ca6/productimages/singlepackshot/",LEFT(A1163,FIND("-",A1163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64" spans="1:4" x14ac:dyDescent="0.25">
      <c r="A1164" s="3" t="s">
        <v>1166</v>
      </c>
      <c r="B1164" s="4">
        <v>89</v>
      </c>
      <c r="C1164" s="3" t="str">
        <f ca="1">IFERROR(ROWSDUMMYFUNCTION(IF(A1164="","",IFERROR(IMAGE(CONCATENATE("https://us.pandora.net/on/demandware.static/-/Sites-pandora-master-catalog/default/dwbb259ca6/productimages/singlepackshot/",LEFT(A1164,FIND("-",A1164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4" s="5" t="str">
        <f ca="1">IFERROR(ROWSDUMMYFUNCTION(IF(A1164="","",CONCATENATE("https://us.pandora.net/on/demandware.static/-/Sites-pandora-master-catalog/default/dwbb259ca6/productimages/singlepackshot/",LEFT(A1164,FIND("-",A1164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65" spans="1:4" x14ac:dyDescent="0.25">
      <c r="A1165" s="3" t="s">
        <v>1167</v>
      </c>
      <c r="B1165" s="4">
        <v>89</v>
      </c>
      <c r="C1165" s="3" t="str">
        <f ca="1">IFERROR(ROWSDUMMYFUNCTION(IF(A1165="","",IFERROR(IMAGE(CONCATENATE("https://us.pandora.net/on/demandware.static/-/Sites-pandora-master-catalog/default/dwbb259ca6/productimages/singlepackshot/",LEFT(A1165,FIND("-",A1165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5" s="5" t="str">
        <f ca="1">IFERROR(ROWSDUMMYFUNCTION(IF(A1165="","",CONCATENATE("https://us.pandora.net/on/demandware.static/-/Sites-pandora-master-catalog/default/dwbb259ca6/productimages/singlepackshot/",LEFT(A1165,FIND("-",A1165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66" spans="1:4" x14ac:dyDescent="0.25">
      <c r="A1166" s="3" t="s">
        <v>1168</v>
      </c>
      <c r="B1166" s="4">
        <v>89</v>
      </c>
      <c r="C1166" s="3" t="str">
        <f ca="1">IFERROR(ROWSDUMMYFUNCTION(IF(A1166="","",IFERROR(IMAGE(CONCATENATE("https://us.pandora.net/on/demandware.static/-/Sites-pandora-master-catalog/default/dwbb259ca6/productimages/singlepackshot/",LEFT(A1166,FIND("-",A1166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6" s="5" t="str">
        <f ca="1">IFERROR(ROWSDUMMYFUNCTION(IF(A1166="","",CONCATENATE("https://us.pandora.net/on/demandware.static/-/Sites-pandora-master-catalog/default/dwbb259ca6/productimages/singlepackshot/",LEFT(A1166,FIND("-",A1166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67" spans="1:4" x14ac:dyDescent="0.25">
      <c r="A1167" s="3" t="s">
        <v>1169</v>
      </c>
      <c r="B1167" s="4">
        <v>89</v>
      </c>
      <c r="C1167" s="3" t="str">
        <f ca="1">IFERROR(ROWSDUMMYFUNCTION(IF(A1167="","",IFERROR(IMAGE(CONCATENATE("https://us.pandora.net/on/demandware.static/-/Sites-pandora-master-catalog/default/dwbb259ca6/productimages/singlepackshot/",LEFT(A1167,FIND("-",A1167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7" s="5" t="str">
        <f ca="1">IFERROR(ROWSDUMMYFUNCTION(IF(A1167="","",CONCATENATE("https://us.pandora.net/on/demandware.static/-/Sites-pandora-master-catalog/default/dwbb259ca6/productimages/singlepackshot/",LEFT(A1167,FIND("-",A1167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68" spans="1:4" x14ac:dyDescent="0.25">
      <c r="A1168" s="3" t="s">
        <v>1170</v>
      </c>
      <c r="B1168" s="4">
        <v>89</v>
      </c>
      <c r="C1168" s="3" t="str">
        <f ca="1">IFERROR(ROWSDUMMYFUNCTION(IF(A1168="","",IFERROR(IMAGE(CONCATENATE("https://us.pandora.net/on/demandware.static/-/Sites-pandora-master-catalog/default/dwbb259ca6/productimages/singlepackshot/",LEFT(A1168,FIND("-",A1168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8" s="5" t="str">
        <f ca="1">IFERROR(ROWSDUMMYFUNCTION(IF(A1168="","",CONCATENATE("https://us.pandora.net/on/demandware.static/-/Sites-pandora-master-catalog/default/dwbb259ca6/productimages/singlepackshot/",LEFT(A1168,FIND("-",A1168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69" spans="1:4" x14ac:dyDescent="0.25">
      <c r="A1169" s="3" t="s">
        <v>1171</v>
      </c>
      <c r="B1169" s="4">
        <v>89</v>
      </c>
      <c r="C1169" s="3" t="str">
        <f ca="1">IFERROR(ROWSDUMMYFUNCTION(IF(A1169="","",IFERROR(IMAGE(CONCATENATE("https://us.pandora.net/on/demandware.static/-/Sites-pandora-master-catalog/default/dwbb259ca6/productimages/singlepackshot/",LEFT(A1169,FIND("-",A1169&amp;"-")-1),"_RGB.png")),""))),"{""url"":""https://us.pandora.net/on/demandware.static/-/Sites-pandora-master-catalog/default/dwbb259ca6/productimages/singlepackshot/193004C01_RGB.png"",""mode"":1}")</f>
        <v>{"url":"https://us.pandora.net/on/demandware.static/-/Sites-pandora-master-catalog/default/dwbb259ca6/productimages/singlepackshot/193004C01_RGB.png","mode":1}</v>
      </c>
      <c r="D1169" s="5" t="str">
        <f ca="1">IFERROR(ROWSDUMMYFUNCTION(IF(A1169="","",CONCATENATE("https://us.pandora.net/on/demandware.static/-/Sites-pandora-master-catalog/default/dwbb259ca6/productimages/singlepackshot/",LEFT(A1169,FIND("-",A1169&amp;"-")-1),"_RGB.png"))),"https://us.pandora.net/on/demandware.static/-/Sites-pandora-master-catalog/default/dwbb259ca6/productimages/singlepackshot/193004C01_RGB.png")</f>
        <v>https://us.pandora.net/on/demandware.static/-/Sites-pandora-master-catalog/default/dwbb259ca6/productimages/singlepackshot/193004C01_RGB.png</v>
      </c>
    </row>
    <row r="1170" spans="1:4" x14ac:dyDescent="0.25">
      <c r="A1170" s="3" t="s">
        <v>1172</v>
      </c>
      <c r="B1170" s="4">
        <v>89</v>
      </c>
      <c r="C1170" s="3" t="str">
        <f ca="1">IFERROR(ROWSDUMMYFUNCTION(IF(A1170="","",IFERROR(IMAGE(CONCATENATE("https://us.pandora.net/on/demandware.static/-/Sites-pandora-master-catalog/default/dwbb259ca6/productimages/singlepackshot/",LEFT(A1170,FIND("-",A1170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0" s="5" t="str">
        <f ca="1">IFERROR(ROWSDUMMYFUNCTION(IF(A1170="","",CONCATENATE("https://us.pandora.net/on/demandware.static/-/Sites-pandora-master-catalog/default/dwbb259ca6/productimages/singlepackshot/",LEFT(A1170,FIND("-",A1170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1" spans="1:4" x14ac:dyDescent="0.25">
      <c r="A1171" s="3" t="s">
        <v>1173</v>
      </c>
      <c r="B1171" s="4">
        <v>89</v>
      </c>
      <c r="C1171" s="3" t="str">
        <f ca="1">IFERROR(ROWSDUMMYFUNCTION(IF(A1171="","",IFERROR(IMAGE(CONCATENATE("https://us.pandora.net/on/demandware.static/-/Sites-pandora-master-catalog/default/dwbb259ca6/productimages/singlepackshot/",LEFT(A1171,FIND("-",A1171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1" s="5" t="str">
        <f ca="1">IFERROR(ROWSDUMMYFUNCTION(IF(A1171="","",CONCATENATE("https://us.pandora.net/on/demandware.static/-/Sites-pandora-master-catalog/default/dwbb259ca6/productimages/singlepackshot/",LEFT(A1171,FIND("-",A1171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2" spans="1:4" x14ac:dyDescent="0.25">
      <c r="A1172" s="3" t="s">
        <v>1174</v>
      </c>
      <c r="B1172" s="4">
        <v>89</v>
      </c>
      <c r="C1172" s="3" t="str">
        <f ca="1">IFERROR(ROWSDUMMYFUNCTION(IF(A1172="","",IFERROR(IMAGE(CONCATENATE("https://us.pandora.net/on/demandware.static/-/Sites-pandora-master-catalog/default/dwbb259ca6/productimages/singlepackshot/",LEFT(A1172,FIND("-",A1172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2" s="5" t="str">
        <f ca="1">IFERROR(ROWSDUMMYFUNCTION(IF(A1172="","",CONCATENATE("https://us.pandora.net/on/demandware.static/-/Sites-pandora-master-catalog/default/dwbb259ca6/productimages/singlepackshot/",LEFT(A1172,FIND("-",A1172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3" spans="1:4" x14ac:dyDescent="0.25">
      <c r="A1173" s="3" t="s">
        <v>1175</v>
      </c>
      <c r="B1173" s="4">
        <v>89</v>
      </c>
      <c r="C1173" s="3" t="str">
        <f ca="1">IFERROR(ROWSDUMMYFUNCTION(IF(A1173="","",IFERROR(IMAGE(CONCATENATE("https://us.pandora.net/on/demandware.static/-/Sites-pandora-master-catalog/default/dwbb259ca6/productimages/singlepackshot/",LEFT(A1173,FIND("-",A1173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3" s="5" t="str">
        <f ca="1">IFERROR(ROWSDUMMYFUNCTION(IF(A1173="","",CONCATENATE("https://us.pandora.net/on/demandware.static/-/Sites-pandora-master-catalog/default/dwbb259ca6/productimages/singlepackshot/",LEFT(A1173,FIND("-",A1173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4" spans="1:4" x14ac:dyDescent="0.25">
      <c r="A1174" s="3" t="s">
        <v>1176</v>
      </c>
      <c r="B1174" s="4">
        <v>89</v>
      </c>
      <c r="C1174" s="3" t="str">
        <f ca="1">IFERROR(ROWSDUMMYFUNCTION(IF(A1174="","",IFERROR(IMAGE(CONCATENATE("https://us.pandora.net/on/demandware.static/-/Sites-pandora-master-catalog/default/dwbb259ca6/productimages/singlepackshot/",LEFT(A1174,FIND("-",A1174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4" s="5" t="str">
        <f ca="1">IFERROR(ROWSDUMMYFUNCTION(IF(A1174="","",CONCATENATE("https://us.pandora.net/on/demandware.static/-/Sites-pandora-master-catalog/default/dwbb259ca6/productimages/singlepackshot/",LEFT(A1174,FIND("-",A1174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5" spans="1:4" x14ac:dyDescent="0.25">
      <c r="A1175" s="3" t="s">
        <v>1177</v>
      </c>
      <c r="B1175" s="4">
        <v>89</v>
      </c>
      <c r="C1175" s="3" t="str">
        <f ca="1">IFERROR(ROWSDUMMYFUNCTION(IF(A1175="","",IFERROR(IMAGE(CONCATENATE("https://us.pandora.net/on/demandware.static/-/Sites-pandora-master-catalog/default/dwbb259ca6/productimages/singlepackshot/",LEFT(A1175,FIND("-",A1175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5" s="5" t="str">
        <f ca="1">IFERROR(ROWSDUMMYFUNCTION(IF(A1175="","",CONCATENATE("https://us.pandora.net/on/demandware.static/-/Sites-pandora-master-catalog/default/dwbb259ca6/productimages/singlepackshot/",LEFT(A1175,FIND("-",A1175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6" spans="1:4" x14ac:dyDescent="0.25">
      <c r="A1176" s="3" t="s">
        <v>1178</v>
      </c>
      <c r="B1176" s="4">
        <v>89</v>
      </c>
      <c r="C1176" s="3" t="str">
        <f ca="1">IFERROR(ROWSDUMMYFUNCTION(IF(A1176="","",IFERROR(IMAGE(CONCATENATE("https://us.pandora.net/on/demandware.static/-/Sites-pandora-master-catalog/default/dwbb259ca6/productimages/singlepackshot/",LEFT(A1176,FIND("-",A1176&amp;"-")-1),"_RGB.png")),""))),"{""url"":""https://us.pandora.net/on/demandware.static/-/Sites-pandora-master-catalog/default/dwbb259ca6/productimages/singlepackshot/193012C01_RGB.png"",""mode"":1}")</f>
        <v>{"url":"https://us.pandora.net/on/demandware.static/-/Sites-pandora-master-catalog/default/dwbb259ca6/productimages/singlepackshot/193012C01_RGB.png","mode":1}</v>
      </c>
      <c r="D1176" s="5" t="str">
        <f ca="1">IFERROR(ROWSDUMMYFUNCTION(IF(A1176="","",CONCATENATE("https://us.pandora.net/on/demandware.static/-/Sites-pandora-master-catalog/default/dwbb259ca6/productimages/singlepackshot/",LEFT(A1176,FIND("-",A1176&amp;"-")-1),"_RGB.png"))),"https://us.pandora.net/on/demandware.static/-/Sites-pandora-master-catalog/default/dwbb259ca6/productimages/singlepackshot/193012C01_RGB.png")</f>
        <v>https://us.pandora.net/on/demandware.static/-/Sites-pandora-master-catalog/default/dwbb259ca6/productimages/singlepackshot/193012C01_RGB.png</v>
      </c>
    </row>
    <row r="1177" spans="1:4" x14ac:dyDescent="0.25">
      <c r="A1177" s="3" t="s">
        <v>1179</v>
      </c>
      <c r="B1177" s="4">
        <v>119</v>
      </c>
      <c r="C1177" s="3" t="str">
        <f ca="1">IFERROR(ROWSDUMMYFUNCTION(IF(A1177="","",IFERROR(IMAGE(CONCATENATE("https://us.pandora.net/on/demandware.static/-/Sites-pandora-master-catalog/default/dwbb259ca6/productimages/singlepackshot/",LEFT(A1177,FIND("-",A1177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77" s="5" t="str">
        <f ca="1">IFERROR(ROWSDUMMYFUNCTION(IF(A1177="","",CONCATENATE("https://us.pandora.net/on/demandware.static/-/Sites-pandora-master-catalog/default/dwbb259ca6/productimages/singlepackshot/",LEFT(A1177,FIND("-",A1177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78" spans="1:4" x14ac:dyDescent="0.25">
      <c r="A1178" s="3" t="s">
        <v>1180</v>
      </c>
      <c r="B1178" s="4">
        <v>119</v>
      </c>
      <c r="C1178" s="3" t="str">
        <f ca="1">IFERROR(ROWSDUMMYFUNCTION(IF(A1178="","",IFERROR(IMAGE(CONCATENATE("https://us.pandora.net/on/demandware.static/-/Sites-pandora-master-catalog/default/dwbb259ca6/productimages/singlepackshot/",LEFT(A1178,FIND("-",A1178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78" s="5" t="str">
        <f ca="1">IFERROR(ROWSDUMMYFUNCTION(IF(A1178="","",CONCATENATE("https://us.pandora.net/on/demandware.static/-/Sites-pandora-master-catalog/default/dwbb259ca6/productimages/singlepackshot/",LEFT(A1178,FIND("-",A1178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79" spans="1:4" x14ac:dyDescent="0.25">
      <c r="A1179" s="3" t="s">
        <v>1181</v>
      </c>
      <c r="B1179" s="4">
        <v>119</v>
      </c>
      <c r="C1179" s="3" t="str">
        <f ca="1">IFERROR(ROWSDUMMYFUNCTION(IF(A1179="","",IFERROR(IMAGE(CONCATENATE("https://us.pandora.net/on/demandware.static/-/Sites-pandora-master-catalog/default/dwbb259ca6/productimages/singlepackshot/",LEFT(A1179,FIND("-",A1179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79" s="5" t="str">
        <f ca="1">IFERROR(ROWSDUMMYFUNCTION(IF(A1179="","",CONCATENATE("https://us.pandora.net/on/demandware.static/-/Sites-pandora-master-catalog/default/dwbb259ca6/productimages/singlepackshot/",LEFT(A1179,FIND("-",A1179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80" spans="1:4" x14ac:dyDescent="0.25">
      <c r="A1180" s="3" t="s">
        <v>1182</v>
      </c>
      <c r="B1180" s="4">
        <v>119</v>
      </c>
      <c r="C1180" s="3" t="str">
        <f ca="1">IFERROR(ROWSDUMMYFUNCTION(IF(A1180="","",IFERROR(IMAGE(CONCATENATE("https://us.pandora.net/on/demandware.static/-/Sites-pandora-master-catalog/default/dwbb259ca6/productimages/singlepackshot/",LEFT(A1180,FIND("-",A1180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80" s="5" t="str">
        <f ca="1">IFERROR(ROWSDUMMYFUNCTION(IF(A1180="","",CONCATENATE("https://us.pandora.net/on/demandware.static/-/Sites-pandora-master-catalog/default/dwbb259ca6/productimages/singlepackshot/",LEFT(A1180,FIND("-",A1180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81" spans="1:4" x14ac:dyDescent="0.25">
      <c r="A1181" s="3" t="s">
        <v>1183</v>
      </c>
      <c r="B1181" s="4">
        <v>119</v>
      </c>
      <c r="C1181" s="3" t="str">
        <f ca="1">IFERROR(ROWSDUMMYFUNCTION(IF(A1181="","",IFERROR(IMAGE(CONCATENATE("https://us.pandora.net/on/demandware.static/-/Sites-pandora-master-catalog/default/dwbb259ca6/productimages/singlepackshot/",LEFT(A1181,FIND("-",A1181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81" s="5" t="str">
        <f ca="1">IFERROR(ROWSDUMMYFUNCTION(IF(A1181="","",CONCATENATE("https://us.pandora.net/on/demandware.static/-/Sites-pandora-master-catalog/default/dwbb259ca6/productimages/singlepackshot/",LEFT(A1181,FIND("-",A1181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82" spans="1:4" x14ac:dyDescent="0.25">
      <c r="A1182" s="3" t="s">
        <v>1184</v>
      </c>
      <c r="B1182" s="4">
        <v>119</v>
      </c>
      <c r="C1182" s="3" t="str">
        <f ca="1">IFERROR(ROWSDUMMYFUNCTION(IF(A1182="","",IFERROR(IMAGE(CONCATENATE("https://us.pandora.net/on/demandware.static/-/Sites-pandora-master-catalog/default/dwbb259ca6/productimages/singlepackshot/",LEFT(A1182,FIND("-",A1182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82" s="5" t="str">
        <f ca="1">IFERROR(ROWSDUMMYFUNCTION(IF(A1182="","",CONCATENATE("https://us.pandora.net/on/demandware.static/-/Sites-pandora-master-catalog/default/dwbb259ca6/productimages/singlepackshot/",LEFT(A1182,FIND("-",A1182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83" spans="1:4" x14ac:dyDescent="0.25">
      <c r="A1183" s="3" t="s">
        <v>1185</v>
      </c>
      <c r="B1183" s="4">
        <v>119</v>
      </c>
      <c r="C1183" s="3" t="str">
        <f ca="1">IFERROR(ROWSDUMMYFUNCTION(IF(A1183="","",IFERROR(IMAGE(CONCATENATE("https://us.pandora.net/on/demandware.static/-/Sites-pandora-master-catalog/default/dwbb259ca6/productimages/singlepackshot/",LEFT(A1183,FIND("-",A1183&amp;"-")-1),"_RGB.png")),""))),"{""url"":""https://us.pandora.net/on/demandware.static/-/Sites-pandora-master-catalog/default/dwbb259ca6/productimages/singlepackshot/193022C01_RGB.png"",""mode"":1}")</f>
        <v>{"url":"https://us.pandora.net/on/demandware.static/-/Sites-pandora-master-catalog/default/dwbb259ca6/productimages/singlepackshot/193022C01_RGB.png","mode":1}</v>
      </c>
      <c r="D1183" s="5" t="str">
        <f ca="1">IFERROR(ROWSDUMMYFUNCTION(IF(A1183="","",CONCATENATE("https://us.pandora.net/on/demandware.static/-/Sites-pandora-master-catalog/default/dwbb259ca6/productimages/singlepackshot/",LEFT(A1183,FIND("-",A1183&amp;"-")-1),"_RGB.png"))),"https://us.pandora.net/on/demandware.static/-/Sites-pandora-master-catalog/default/dwbb259ca6/productimages/singlepackshot/193022C01_RGB.png")</f>
        <v>https://us.pandora.net/on/demandware.static/-/Sites-pandora-master-catalog/default/dwbb259ca6/productimages/singlepackshot/193022C01_RGB.png</v>
      </c>
    </row>
    <row r="1184" spans="1:4" x14ac:dyDescent="0.25">
      <c r="A1184" s="3" t="s">
        <v>1186</v>
      </c>
      <c r="B1184" s="4">
        <v>39</v>
      </c>
      <c r="C1184" s="3" t="str">
        <f ca="1">IFERROR(ROWSDUMMYFUNCTION(IF(A1184="","",IFERROR(IMAGE(CONCATENATE("https://us.pandora.net/on/demandware.static/-/Sites-pandora-master-catalog/default/dwbb259ca6/productimages/singlepackshot/",LEFT(A1184,FIND("-",A1184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84" s="5" t="str">
        <f ca="1">IFERROR(ROWSDUMMYFUNCTION(IF(A1184="","",CONCATENATE("https://us.pandora.net/on/demandware.static/-/Sites-pandora-master-catalog/default/dwbb259ca6/productimages/singlepackshot/",LEFT(A1184,FIND("-",A1184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85" spans="1:4" x14ac:dyDescent="0.25">
      <c r="A1185" s="3" t="s">
        <v>1187</v>
      </c>
      <c r="B1185" s="4">
        <v>39</v>
      </c>
      <c r="C1185" s="3" t="str">
        <f ca="1">IFERROR(ROWSDUMMYFUNCTION(IF(A1185="","",IFERROR(IMAGE(CONCATENATE("https://us.pandora.net/on/demandware.static/-/Sites-pandora-master-catalog/default/dwbb259ca6/productimages/singlepackshot/",LEFT(A1185,FIND("-",A1185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85" s="5" t="str">
        <f ca="1">IFERROR(ROWSDUMMYFUNCTION(IF(A1185="","",CONCATENATE("https://us.pandora.net/on/demandware.static/-/Sites-pandora-master-catalog/default/dwbb259ca6/productimages/singlepackshot/",LEFT(A1185,FIND("-",A1185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86" spans="1:4" x14ac:dyDescent="0.25">
      <c r="A1186" s="3" t="s">
        <v>1188</v>
      </c>
      <c r="B1186" s="4">
        <v>39</v>
      </c>
      <c r="C1186" s="3" t="str">
        <f ca="1">IFERROR(ROWSDUMMYFUNCTION(IF(A1186="","",IFERROR(IMAGE(CONCATENATE("https://us.pandora.net/on/demandware.static/-/Sites-pandora-master-catalog/default/dwbb259ca6/productimages/singlepackshot/",LEFT(A1186,FIND("-",A1186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86" s="5" t="str">
        <f ca="1">IFERROR(ROWSDUMMYFUNCTION(IF(A1186="","",CONCATENATE("https://us.pandora.net/on/demandware.static/-/Sites-pandora-master-catalog/default/dwbb259ca6/productimages/singlepackshot/",LEFT(A1186,FIND("-",A1186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87" spans="1:4" x14ac:dyDescent="0.25">
      <c r="A1187" s="3" t="s">
        <v>1189</v>
      </c>
      <c r="B1187" s="4">
        <v>39</v>
      </c>
      <c r="C1187" s="3" t="str">
        <f ca="1">IFERROR(ROWSDUMMYFUNCTION(IF(A1187="","",IFERROR(IMAGE(CONCATENATE("https://us.pandora.net/on/demandware.static/-/Sites-pandora-master-catalog/default/dwbb259ca6/productimages/singlepackshot/",LEFT(A1187,FIND("-",A1187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87" s="5" t="str">
        <f ca="1">IFERROR(ROWSDUMMYFUNCTION(IF(A1187="","",CONCATENATE("https://us.pandora.net/on/demandware.static/-/Sites-pandora-master-catalog/default/dwbb259ca6/productimages/singlepackshot/",LEFT(A1187,FIND("-",A1187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88" spans="1:4" x14ac:dyDescent="0.25">
      <c r="A1188" s="3" t="s">
        <v>1190</v>
      </c>
      <c r="B1188" s="4">
        <v>39</v>
      </c>
      <c r="C1188" s="3" t="str">
        <f ca="1">IFERROR(ROWSDUMMYFUNCTION(IF(A1188="","",IFERROR(IMAGE(CONCATENATE("https://us.pandora.net/on/demandware.static/-/Sites-pandora-master-catalog/default/dwbb259ca6/productimages/singlepackshot/",LEFT(A1188,FIND("-",A1188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88" s="5" t="str">
        <f ca="1">IFERROR(ROWSDUMMYFUNCTION(IF(A1188="","",CONCATENATE("https://us.pandora.net/on/demandware.static/-/Sites-pandora-master-catalog/default/dwbb259ca6/productimages/singlepackshot/",LEFT(A1188,FIND("-",A1188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89" spans="1:4" x14ac:dyDescent="0.25">
      <c r="A1189" s="3" t="s">
        <v>1191</v>
      </c>
      <c r="B1189" s="4">
        <v>39</v>
      </c>
      <c r="C1189" s="3" t="str">
        <f ca="1">IFERROR(ROWSDUMMYFUNCTION(IF(A1189="","",IFERROR(IMAGE(CONCATENATE("https://us.pandora.net/on/demandware.static/-/Sites-pandora-master-catalog/default/dwbb259ca6/productimages/singlepackshot/",LEFT(A1189,FIND("-",A1189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89" s="5" t="str">
        <f ca="1">IFERROR(ROWSDUMMYFUNCTION(IF(A1189="","",CONCATENATE("https://us.pandora.net/on/demandware.static/-/Sites-pandora-master-catalog/default/dwbb259ca6/productimages/singlepackshot/",LEFT(A1189,FIND("-",A1189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90" spans="1:4" x14ac:dyDescent="0.25">
      <c r="A1190" s="3" t="s">
        <v>1192</v>
      </c>
      <c r="B1190" s="4">
        <v>39</v>
      </c>
      <c r="C1190" s="3" t="str">
        <f ca="1">IFERROR(ROWSDUMMYFUNCTION(IF(A1190="","",IFERROR(IMAGE(CONCATENATE("https://us.pandora.net/on/demandware.static/-/Sites-pandora-master-catalog/default/dwbb259ca6/productimages/singlepackshot/",LEFT(A1190,FIND("-",A1190&amp;"-")-1),"_RGB.png")),""))),"{""url"":""https://us.pandora.net/on/demandware.static/-/Sites-pandora-master-catalog/default/dwbb259ca6/productimages/singlepackshot/193058C00_RGB.png"",""mode"":1}")</f>
        <v>{"url":"https://us.pandora.net/on/demandware.static/-/Sites-pandora-master-catalog/default/dwbb259ca6/productimages/singlepackshot/193058C00_RGB.png","mode":1}</v>
      </c>
      <c r="D1190" s="5" t="str">
        <f ca="1">IFERROR(ROWSDUMMYFUNCTION(IF(A1190="","",CONCATENATE("https://us.pandora.net/on/demandware.static/-/Sites-pandora-master-catalog/default/dwbb259ca6/productimages/singlepackshot/",LEFT(A1190,FIND("-",A1190&amp;"-")-1),"_RGB.png"))),"https://us.pandora.net/on/demandware.static/-/Sites-pandora-master-catalog/default/dwbb259ca6/productimages/singlepackshot/193058C00_RGB.png")</f>
        <v>https://us.pandora.net/on/demandware.static/-/Sites-pandora-master-catalog/default/dwbb259ca6/productimages/singlepackshot/193058C00_RGB.png</v>
      </c>
    </row>
    <row r="1191" spans="1:4" x14ac:dyDescent="0.25">
      <c r="A1191" s="3" t="s">
        <v>1193</v>
      </c>
      <c r="B1191" s="4">
        <v>39</v>
      </c>
      <c r="C1191" s="3" t="str">
        <f ca="1">IFERROR(ROWSDUMMYFUNCTION(IF(A1191="","",IFERROR(IMAGE(CONCATENATE("https://us.pandora.net/on/demandware.static/-/Sites-pandora-master-catalog/default/dwbb259ca6/productimages/singlepackshot/",LEFT(A1191,FIND("-",A1191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1" s="5" t="str">
        <f ca="1">IFERROR(ROWSDUMMYFUNCTION(IF(A1191="","",CONCATENATE("https://us.pandora.net/on/demandware.static/-/Sites-pandora-master-catalog/default/dwbb259ca6/productimages/singlepackshot/",LEFT(A1191,FIND("-",A1191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2" spans="1:4" x14ac:dyDescent="0.25">
      <c r="A1192" s="3" t="s">
        <v>1194</v>
      </c>
      <c r="B1192" s="4">
        <v>39</v>
      </c>
      <c r="C1192" s="3" t="str">
        <f ca="1">IFERROR(ROWSDUMMYFUNCTION(IF(A1192="","",IFERROR(IMAGE(CONCATENATE("https://us.pandora.net/on/demandware.static/-/Sites-pandora-master-catalog/default/dwbb259ca6/productimages/singlepackshot/",LEFT(A1192,FIND("-",A1192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2" s="5" t="str">
        <f ca="1">IFERROR(ROWSDUMMYFUNCTION(IF(A1192="","",CONCATENATE("https://us.pandora.net/on/demandware.static/-/Sites-pandora-master-catalog/default/dwbb259ca6/productimages/singlepackshot/",LEFT(A1192,FIND("-",A1192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3" spans="1:4" x14ac:dyDescent="0.25">
      <c r="A1193" s="3" t="s">
        <v>1195</v>
      </c>
      <c r="B1193" s="4">
        <v>39</v>
      </c>
      <c r="C1193" s="3" t="str">
        <f ca="1">IFERROR(ROWSDUMMYFUNCTION(IF(A1193="","",IFERROR(IMAGE(CONCATENATE("https://us.pandora.net/on/demandware.static/-/Sites-pandora-master-catalog/default/dwbb259ca6/productimages/singlepackshot/",LEFT(A1193,FIND("-",A1193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3" s="5" t="str">
        <f ca="1">IFERROR(ROWSDUMMYFUNCTION(IF(A1193="","",CONCATENATE("https://us.pandora.net/on/demandware.static/-/Sites-pandora-master-catalog/default/dwbb259ca6/productimages/singlepackshot/",LEFT(A1193,FIND("-",A1193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4" spans="1:4" x14ac:dyDescent="0.25">
      <c r="A1194" s="3" t="s">
        <v>1196</v>
      </c>
      <c r="B1194" s="4">
        <v>39</v>
      </c>
      <c r="C1194" s="3" t="str">
        <f ca="1">IFERROR(ROWSDUMMYFUNCTION(IF(A1194="","",IFERROR(IMAGE(CONCATENATE("https://us.pandora.net/on/demandware.static/-/Sites-pandora-master-catalog/default/dwbb259ca6/productimages/singlepackshot/",LEFT(A1194,FIND("-",A1194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4" s="5" t="str">
        <f ca="1">IFERROR(ROWSDUMMYFUNCTION(IF(A1194="","",CONCATENATE("https://us.pandora.net/on/demandware.static/-/Sites-pandora-master-catalog/default/dwbb259ca6/productimages/singlepackshot/",LEFT(A1194,FIND("-",A1194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5" spans="1:4" x14ac:dyDescent="0.25">
      <c r="A1195" s="3" t="s">
        <v>1197</v>
      </c>
      <c r="B1195" s="4">
        <v>39</v>
      </c>
      <c r="C1195" s="3" t="str">
        <f ca="1">IFERROR(ROWSDUMMYFUNCTION(IF(A1195="","",IFERROR(IMAGE(CONCATENATE("https://us.pandora.net/on/demandware.static/-/Sites-pandora-master-catalog/default/dwbb259ca6/productimages/singlepackshot/",LEFT(A1195,FIND("-",A1195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5" s="5" t="str">
        <f ca="1">IFERROR(ROWSDUMMYFUNCTION(IF(A1195="","",CONCATENATE("https://us.pandora.net/on/demandware.static/-/Sites-pandora-master-catalog/default/dwbb259ca6/productimages/singlepackshot/",LEFT(A1195,FIND("-",A1195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6" spans="1:4" x14ac:dyDescent="0.25">
      <c r="A1196" s="3" t="s">
        <v>1198</v>
      </c>
      <c r="B1196" s="4">
        <v>39</v>
      </c>
      <c r="C1196" s="3" t="str">
        <f ca="1">IFERROR(ROWSDUMMYFUNCTION(IF(A1196="","",IFERROR(IMAGE(CONCATENATE("https://us.pandora.net/on/demandware.static/-/Sites-pandora-master-catalog/default/dwbb259ca6/productimages/singlepackshot/",LEFT(A1196,FIND("-",A1196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6" s="5" t="str">
        <f ca="1">IFERROR(ROWSDUMMYFUNCTION(IF(A1196="","",CONCATENATE("https://us.pandora.net/on/demandware.static/-/Sites-pandora-master-catalog/default/dwbb259ca6/productimages/singlepackshot/",LEFT(A1196,FIND("-",A1196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7" spans="1:4" x14ac:dyDescent="0.25">
      <c r="A1197" s="3" t="s">
        <v>1199</v>
      </c>
      <c r="B1197" s="4">
        <v>39</v>
      </c>
      <c r="C1197" s="3" t="str">
        <f ca="1">IFERROR(ROWSDUMMYFUNCTION(IF(A1197="","",IFERROR(IMAGE(CONCATENATE("https://us.pandora.net/on/demandware.static/-/Sites-pandora-master-catalog/default/dwbb259ca6/productimages/singlepackshot/",LEFT(A1197,FIND("-",A1197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7" s="5" t="str">
        <f ca="1">IFERROR(ROWSDUMMYFUNCTION(IF(A1197="","",CONCATENATE("https://us.pandora.net/on/demandware.static/-/Sites-pandora-master-catalog/default/dwbb259ca6/productimages/singlepackshot/",LEFT(A1197,FIND("-",A1197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8" spans="1:4" x14ac:dyDescent="0.25">
      <c r="A1198" s="3" t="s">
        <v>1200</v>
      </c>
      <c r="B1198" s="4">
        <v>39</v>
      </c>
      <c r="C1198" s="3" t="str">
        <f ca="1">IFERROR(ROWSDUMMYFUNCTION(IF(A1198="","",IFERROR(IMAGE(CONCATENATE("https://us.pandora.net/on/demandware.static/-/Sites-pandora-master-catalog/default/dwbb259ca6/productimages/singlepackshot/",LEFT(A1198,FIND("-",A1198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8" s="5" t="str">
        <f ca="1">IFERROR(ROWSDUMMYFUNCTION(IF(A1198="","",CONCATENATE("https://us.pandora.net/on/demandware.static/-/Sites-pandora-master-catalog/default/dwbb259ca6/productimages/singlepackshot/",LEFT(A1198,FIND("-",A1198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199" spans="1:4" x14ac:dyDescent="0.25">
      <c r="A1199" s="3" t="s">
        <v>1201</v>
      </c>
      <c r="B1199" s="4">
        <v>39</v>
      </c>
      <c r="C1199" s="3" t="str">
        <f ca="1">IFERROR(ROWSDUMMYFUNCTION(IF(A1199="","",IFERROR(IMAGE(CONCATENATE("https://us.pandora.net/on/demandware.static/-/Sites-pandora-master-catalog/default/dwbb259ca6/productimages/singlepackshot/",LEFT(A1199,FIND("-",A1199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199" s="5" t="str">
        <f ca="1">IFERROR(ROWSDUMMYFUNCTION(IF(A1199="","",CONCATENATE("https://us.pandora.net/on/demandware.static/-/Sites-pandora-master-catalog/default/dwbb259ca6/productimages/singlepackshot/",LEFT(A1199,FIND("-",A1199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200" spans="1:4" x14ac:dyDescent="0.25">
      <c r="A1200" s="3" t="s">
        <v>1202</v>
      </c>
      <c r="B1200" s="4">
        <v>39</v>
      </c>
      <c r="C1200" s="3" t="str">
        <f ca="1">IFERROR(ROWSDUMMYFUNCTION(IF(A1200="","",IFERROR(IMAGE(CONCATENATE("https://us.pandora.net/on/demandware.static/-/Sites-pandora-master-catalog/default/dwbb259ca6/productimages/singlepackshot/",LEFT(A1200,FIND("-",A1200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200" s="5" t="str">
        <f ca="1">IFERROR(ROWSDUMMYFUNCTION(IF(A1200="","",CONCATENATE("https://us.pandora.net/on/demandware.static/-/Sites-pandora-master-catalog/default/dwbb259ca6/productimages/singlepackshot/",LEFT(A1200,FIND("-",A1200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201" spans="1:4" x14ac:dyDescent="0.25">
      <c r="A1201" s="3" t="s">
        <v>1203</v>
      </c>
      <c r="B1201" s="4">
        <v>39</v>
      </c>
      <c r="C1201" s="3" t="str">
        <f ca="1">IFERROR(ROWSDUMMYFUNCTION(IF(A1201="","",IFERROR(IMAGE(CONCATENATE("https://us.pandora.net/on/demandware.static/-/Sites-pandora-master-catalog/default/dwbb259ca6/productimages/singlepackshot/",LEFT(A1201,FIND("-",A1201&amp;"-")-1),"_RGB.png")),""))),"{""url"":""https://us.pandora.net/on/demandware.static/-/Sites-pandora-master-catalog/default/dwbb259ca6/productimages/singlepackshot/193088C01_RGB.png"",""mode"":1}")</f>
        <v>{"url":"https://us.pandora.net/on/demandware.static/-/Sites-pandora-master-catalog/default/dwbb259ca6/productimages/singlepackshot/193088C01_RGB.png","mode":1}</v>
      </c>
      <c r="D1201" s="5" t="str">
        <f ca="1">IFERROR(ROWSDUMMYFUNCTION(IF(A1201="","",CONCATENATE("https://us.pandora.net/on/demandware.static/-/Sites-pandora-master-catalog/default/dwbb259ca6/productimages/singlepackshot/",LEFT(A1201,FIND("-",A1201&amp;"-")-1),"_RGB.png"))),"https://us.pandora.net/on/demandware.static/-/Sites-pandora-master-catalog/default/dwbb259ca6/productimages/singlepackshot/193088C01_RGB.png")</f>
        <v>https://us.pandora.net/on/demandware.static/-/Sites-pandora-master-catalog/default/dwbb259ca6/productimages/singlepackshot/193088C01_RGB.png</v>
      </c>
    </row>
    <row r="1202" spans="1:4" x14ac:dyDescent="0.25">
      <c r="A1202" s="3" t="s">
        <v>1204</v>
      </c>
      <c r="B1202" s="4">
        <v>39</v>
      </c>
      <c r="C1202" s="3" t="str">
        <f ca="1">IFERROR(ROWSDUMMYFUNCTION(IF(A1202="","",IFERROR(IMAGE(CONCATENATE("https://us.pandora.net/on/demandware.static/-/Sites-pandora-master-catalog/default/dwbb259ca6/productimages/singlepackshot/",LEFT(A1202,FIND("-",A1202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2" s="5" t="str">
        <f ca="1">IFERROR(ROWSDUMMYFUNCTION(IF(A1202="","",CONCATENATE("https://us.pandora.net/on/demandware.static/-/Sites-pandora-master-catalog/default/dwbb259ca6/productimages/singlepackshot/",LEFT(A1202,FIND("-",A1202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3" spans="1:4" x14ac:dyDescent="0.25">
      <c r="A1203" s="3" t="s">
        <v>1205</v>
      </c>
      <c r="B1203" s="4">
        <v>39</v>
      </c>
      <c r="C1203" s="3" t="str">
        <f ca="1">IFERROR(ROWSDUMMYFUNCTION(IF(A1203="","",IFERROR(IMAGE(CONCATENATE("https://us.pandora.net/on/demandware.static/-/Sites-pandora-master-catalog/default/dwbb259ca6/productimages/singlepackshot/",LEFT(A1203,FIND("-",A1203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3" s="5" t="str">
        <f ca="1">IFERROR(ROWSDUMMYFUNCTION(IF(A1203="","",CONCATENATE("https://us.pandora.net/on/demandware.static/-/Sites-pandora-master-catalog/default/dwbb259ca6/productimages/singlepackshot/",LEFT(A1203,FIND("-",A1203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4" spans="1:4" x14ac:dyDescent="0.25">
      <c r="A1204" s="3" t="s">
        <v>1206</v>
      </c>
      <c r="B1204" s="4">
        <v>39</v>
      </c>
      <c r="C1204" s="3" t="str">
        <f ca="1">IFERROR(ROWSDUMMYFUNCTION(IF(A1204="","",IFERROR(IMAGE(CONCATENATE("https://us.pandora.net/on/demandware.static/-/Sites-pandora-master-catalog/default/dwbb259ca6/productimages/singlepackshot/",LEFT(A1204,FIND("-",A1204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4" s="5" t="str">
        <f ca="1">IFERROR(ROWSDUMMYFUNCTION(IF(A1204="","",CONCATENATE("https://us.pandora.net/on/demandware.static/-/Sites-pandora-master-catalog/default/dwbb259ca6/productimages/singlepackshot/",LEFT(A1204,FIND("-",A1204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5" spans="1:4" x14ac:dyDescent="0.25">
      <c r="A1205" s="3" t="s">
        <v>1207</v>
      </c>
      <c r="B1205" s="4">
        <v>39</v>
      </c>
      <c r="C1205" s="3" t="str">
        <f ca="1">IFERROR(ROWSDUMMYFUNCTION(IF(A1205="","",IFERROR(IMAGE(CONCATENATE("https://us.pandora.net/on/demandware.static/-/Sites-pandora-master-catalog/default/dwbb259ca6/productimages/singlepackshot/",LEFT(A1205,FIND("-",A1205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5" s="5" t="str">
        <f ca="1">IFERROR(ROWSDUMMYFUNCTION(IF(A1205="","",CONCATENATE("https://us.pandora.net/on/demandware.static/-/Sites-pandora-master-catalog/default/dwbb259ca6/productimages/singlepackshot/",LEFT(A1205,FIND("-",A1205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6" spans="1:4" x14ac:dyDescent="0.25">
      <c r="A1206" s="3" t="s">
        <v>1208</v>
      </c>
      <c r="B1206" s="4">
        <v>39</v>
      </c>
      <c r="C1206" s="3" t="str">
        <f ca="1">IFERROR(ROWSDUMMYFUNCTION(IF(A1206="","",IFERROR(IMAGE(CONCATENATE("https://us.pandora.net/on/demandware.static/-/Sites-pandora-master-catalog/default/dwbb259ca6/productimages/singlepackshot/",LEFT(A1206,FIND("-",A1206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6" s="5" t="str">
        <f ca="1">IFERROR(ROWSDUMMYFUNCTION(IF(A1206="","",CONCATENATE("https://us.pandora.net/on/demandware.static/-/Sites-pandora-master-catalog/default/dwbb259ca6/productimages/singlepackshot/",LEFT(A1206,FIND("-",A1206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7" spans="1:4" x14ac:dyDescent="0.25">
      <c r="A1207" s="3" t="s">
        <v>1209</v>
      </c>
      <c r="B1207" s="4">
        <v>39</v>
      </c>
      <c r="C1207" s="3" t="str">
        <f ca="1">IFERROR(ROWSDUMMYFUNCTION(IF(A1207="","",IFERROR(IMAGE(CONCATENATE("https://us.pandora.net/on/demandware.static/-/Sites-pandora-master-catalog/default/dwbb259ca6/productimages/singlepackshot/",LEFT(A1207,FIND("-",A1207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7" s="5" t="str">
        <f ca="1">IFERROR(ROWSDUMMYFUNCTION(IF(A1207="","",CONCATENATE("https://us.pandora.net/on/demandware.static/-/Sites-pandora-master-catalog/default/dwbb259ca6/productimages/singlepackshot/",LEFT(A1207,FIND("-",A1207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8" spans="1:4" x14ac:dyDescent="0.25">
      <c r="A1208" s="3" t="s">
        <v>1210</v>
      </c>
      <c r="B1208" s="4">
        <v>39</v>
      </c>
      <c r="C1208" s="3" t="str">
        <f ca="1">IFERROR(ROWSDUMMYFUNCTION(IF(A1208="","",IFERROR(IMAGE(CONCATENATE("https://us.pandora.net/on/demandware.static/-/Sites-pandora-master-catalog/default/dwbb259ca6/productimages/singlepackshot/",LEFT(A1208,FIND("-",A1208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8" s="5" t="str">
        <f ca="1">IFERROR(ROWSDUMMYFUNCTION(IF(A1208="","",CONCATENATE("https://us.pandora.net/on/demandware.static/-/Sites-pandora-master-catalog/default/dwbb259ca6/productimages/singlepackshot/",LEFT(A1208,FIND("-",A1208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09" spans="1:4" x14ac:dyDescent="0.25">
      <c r="A1209" s="3" t="s">
        <v>1211</v>
      </c>
      <c r="B1209" s="4">
        <v>39</v>
      </c>
      <c r="C1209" s="3" t="str">
        <f ca="1">IFERROR(ROWSDUMMYFUNCTION(IF(A1209="","",IFERROR(IMAGE(CONCATENATE("https://us.pandora.net/on/demandware.static/-/Sites-pandora-master-catalog/default/dwbb259ca6/productimages/singlepackshot/",LEFT(A1209,FIND("-",A1209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09" s="5" t="str">
        <f ca="1">IFERROR(ROWSDUMMYFUNCTION(IF(A1209="","",CONCATENATE("https://us.pandora.net/on/demandware.static/-/Sites-pandora-master-catalog/default/dwbb259ca6/productimages/singlepackshot/",LEFT(A1209,FIND("-",A1209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10" spans="1:4" x14ac:dyDescent="0.25">
      <c r="A1210" s="3" t="s">
        <v>1212</v>
      </c>
      <c r="B1210" s="4">
        <v>39</v>
      </c>
      <c r="C1210" s="3" t="str">
        <f ca="1">IFERROR(ROWSDUMMYFUNCTION(IF(A1210="","",IFERROR(IMAGE(CONCATENATE("https://us.pandora.net/on/demandware.static/-/Sites-pandora-master-catalog/default/dwbb259ca6/productimages/singlepackshot/",LEFT(A1210,FIND("-",A1210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10" s="5" t="str">
        <f ca="1">IFERROR(ROWSDUMMYFUNCTION(IF(A1210="","",CONCATENATE("https://us.pandora.net/on/demandware.static/-/Sites-pandora-master-catalog/default/dwbb259ca6/productimages/singlepackshot/",LEFT(A1210,FIND("-",A1210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11" spans="1:4" x14ac:dyDescent="0.25">
      <c r="A1211" s="3" t="s">
        <v>1213</v>
      </c>
      <c r="B1211" s="4">
        <v>39</v>
      </c>
      <c r="C1211" s="3" t="str">
        <f ca="1">IFERROR(ROWSDUMMYFUNCTION(IF(A1211="","",IFERROR(IMAGE(CONCATENATE("https://us.pandora.net/on/demandware.static/-/Sites-pandora-master-catalog/default/dwbb259ca6/productimages/singlepackshot/",LEFT(A1211,FIND("-",A1211&amp;"-")-1),"_RGB.png")),""))),"{""url"":""https://us.pandora.net/on/demandware.static/-/Sites-pandora-master-catalog/default/dwbb259ca6/productimages/singlepackshot/193088C02_RGB.png"",""mode"":1}")</f>
        <v>{"url":"https://us.pandora.net/on/demandware.static/-/Sites-pandora-master-catalog/default/dwbb259ca6/productimages/singlepackshot/193088C02_RGB.png","mode":1}</v>
      </c>
      <c r="D1211" s="5" t="str">
        <f ca="1">IFERROR(ROWSDUMMYFUNCTION(IF(A1211="","",CONCATENATE("https://us.pandora.net/on/demandware.static/-/Sites-pandora-master-catalog/default/dwbb259ca6/productimages/singlepackshot/",LEFT(A1211,FIND("-",A1211&amp;"-")-1),"_RGB.png"))),"https://us.pandora.net/on/demandware.static/-/Sites-pandora-master-catalog/default/dwbb259ca6/productimages/singlepackshot/193088C02_RGB.png")</f>
        <v>https://us.pandora.net/on/demandware.static/-/Sites-pandora-master-catalog/default/dwbb259ca6/productimages/singlepackshot/193088C02_RGB.png</v>
      </c>
    </row>
    <row r="1212" spans="1:4" x14ac:dyDescent="0.25">
      <c r="A1212" s="3" t="s">
        <v>1214</v>
      </c>
      <c r="B1212" s="4">
        <v>39</v>
      </c>
      <c r="C1212" s="3" t="str">
        <f ca="1">IFERROR(ROWSDUMMYFUNCTION(IF(A1212="","",IFERROR(IMAGE(CONCATENATE("https://us.pandora.net/on/demandware.static/-/Sites-pandora-master-catalog/default/dwbb259ca6/productimages/singlepackshot/",LEFT(A1212,FIND("-",A1212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2" s="5" t="str">
        <f ca="1">IFERROR(ROWSDUMMYFUNCTION(IF(A1212="","",CONCATENATE("https://us.pandora.net/on/demandware.static/-/Sites-pandora-master-catalog/default/dwbb259ca6/productimages/singlepackshot/",LEFT(A1212,FIND("-",A1212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3" spans="1:4" x14ac:dyDescent="0.25">
      <c r="A1213" s="3" t="s">
        <v>1215</v>
      </c>
      <c r="B1213" s="4">
        <v>39</v>
      </c>
      <c r="C1213" s="3" t="str">
        <f ca="1">IFERROR(ROWSDUMMYFUNCTION(IF(A1213="","",IFERROR(IMAGE(CONCATENATE("https://us.pandora.net/on/demandware.static/-/Sites-pandora-master-catalog/default/dwbb259ca6/productimages/singlepackshot/",LEFT(A1213,FIND("-",A1213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3" s="5" t="str">
        <f ca="1">IFERROR(ROWSDUMMYFUNCTION(IF(A1213="","",CONCATENATE("https://us.pandora.net/on/demandware.static/-/Sites-pandora-master-catalog/default/dwbb259ca6/productimages/singlepackshot/",LEFT(A1213,FIND("-",A1213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4" spans="1:4" x14ac:dyDescent="0.25">
      <c r="A1214" s="3" t="s">
        <v>1216</v>
      </c>
      <c r="B1214" s="4">
        <v>39</v>
      </c>
      <c r="C1214" s="3" t="str">
        <f ca="1">IFERROR(ROWSDUMMYFUNCTION(IF(A1214="","",IFERROR(IMAGE(CONCATENATE("https://us.pandora.net/on/demandware.static/-/Sites-pandora-master-catalog/default/dwbb259ca6/productimages/singlepackshot/",LEFT(A1214,FIND("-",A1214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4" s="5" t="str">
        <f ca="1">IFERROR(ROWSDUMMYFUNCTION(IF(A1214="","",CONCATENATE("https://us.pandora.net/on/demandware.static/-/Sites-pandora-master-catalog/default/dwbb259ca6/productimages/singlepackshot/",LEFT(A1214,FIND("-",A1214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5" spans="1:4" x14ac:dyDescent="0.25">
      <c r="A1215" s="3" t="s">
        <v>1217</v>
      </c>
      <c r="B1215" s="4">
        <v>39</v>
      </c>
      <c r="C1215" s="3" t="str">
        <f ca="1">IFERROR(ROWSDUMMYFUNCTION(IF(A1215="","",IFERROR(IMAGE(CONCATENATE("https://us.pandora.net/on/demandware.static/-/Sites-pandora-master-catalog/default/dwbb259ca6/productimages/singlepackshot/",LEFT(A1215,FIND("-",A1215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5" s="5" t="str">
        <f ca="1">IFERROR(ROWSDUMMYFUNCTION(IF(A1215="","",CONCATENATE("https://us.pandora.net/on/demandware.static/-/Sites-pandora-master-catalog/default/dwbb259ca6/productimages/singlepackshot/",LEFT(A1215,FIND("-",A1215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6" spans="1:4" x14ac:dyDescent="0.25">
      <c r="A1216" s="3" t="s">
        <v>1218</v>
      </c>
      <c r="B1216" s="4">
        <v>39</v>
      </c>
      <c r="C1216" s="3" t="str">
        <f ca="1">IFERROR(ROWSDUMMYFUNCTION(IF(A1216="","",IFERROR(IMAGE(CONCATENATE("https://us.pandora.net/on/demandware.static/-/Sites-pandora-master-catalog/default/dwbb259ca6/productimages/singlepackshot/",LEFT(A1216,FIND("-",A1216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6" s="5" t="str">
        <f ca="1">IFERROR(ROWSDUMMYFUNCTION(IF(A1216="","",CONCATENATE("https://us.pandora.net/on/demandware.static/-/Sites-pandora-master-catalog/default/dwbb259ca6/productimages/singlepackshot/",LEFT(A1216,FIND("-",A1216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7" spans="1:4" x14ac:dyDescent="0.25">
      <c r="A1217" s="3" t="s">
        <v>1219</v>
      </c>
      <c r="B1217" s="4">
        <v>39</v>
      </c>
      <c r="C1217" s="3" t="str">
        <f ca="1">IFERROR(ROWSDUMMYFUNCTION(IF(A1217="","",IFERROR(IMAGE(CONCATENATE("https://us.pandora.net/on/demandware.static/-/Sites-pandora-master-catalog/default/dwbb259ca6/productimages/singlepackshot/",LEFT(A1217,FIND("-",A1217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7" s="5" t="str">
        <f ca="1">IFERROR(ROWSDUMMYFUNCTION(IF(A1217="","",CONCATENATE("https://us.pandora.net/on/demandware.static/-/Sites-pandora-master-catalog/default/dwbb259ca6/productimages/singlepackshot/",LEFT(A1217,FIND("-",A1217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8" spans="1:4" x14ac:dyDescent="0.25">
      <c r="A1218" s="3" t="s">
        <v>1220</v>
      </c>
      <c r="B1218" s="4">
        <v>39</v>
      </c>
      <c r="C1218" s="3" t="str">
        <f ca="1">IFERROR(ROWSDUMMYFUNCTION(IF(A1218="","",IFERROR(IMAGE(CONCATENATE("https://us.pandora.net/on/demandware.static/-/Sites-pandora-master-catalog/default/dwbb259ca6/productimages/singlepackshot/",LEFT(A1218,FIND("-",A1218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8" s="5" t="str">
        <f ca="1">IFERROR(ROWSDUMMYFUNCTION(IF(A1218="","",CONCATENATE("https://us.pandora.net/on/demandware.static/-/Sites-pandora-master-catalog/default/dwbb259ca6/productimages/singlepackshot/",LEFT(A1218,FIND("-",A1218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19" spans="1:4" x14ac:dyDescent="0.25">
      <c r="A1219" s="3" t="s">
        <v>1221</v>
      </c>
      <c r="B1219" s="4">
        <v>39</v>
      </c>
      <c r="C1219" s="3" t="str">
        <f ca="1">IFERROR(ROWSDUMMYFUNCTION(IF(A1219="","",IFERROR(IMAGE(CONCATENATE("https://us.pandora.net/on/demandware.static/-/Sites-pandora-master-catalog/default/dwbb259ca6/productimages/singlepackshot/",LEFT(A1219,FIND("-",A1219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19" s="5" t="str">
        <f ca="1">IFERROR(ROWSDUMMYFUNCTION(IF(A1219="","",CONCATENATE("https://us.pandora.net/on/demandware.static/-/Sites-pandora-master-catalog/default/dwbb259ca6/productimages/singlepackshot/",LEFT(A1219,FIND("-",A1219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20" spans="1:4" x14ac:dyDescent="0.25">
      <c r="A1220" s="3" t="s">
        <v>1222</v>
      </c>
      <c r="B1220" s="4">
        <v>39</v>
      </c>
      <c r="C1220" s="3" t="str">
        <f ca="1">IFERROR(ROWSDUMMYFUNCTION(IF(A1220="","",IFERROR(IMAGE(CONCATENATE("https://us.pandora.net/on/demandware.static/-/Sites-pandora-master-catalog/default/dwbb259ca6/productimages/singlepackshot/",LEFT(A1220,FIND("-",A1220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20" s="5" t="str">
        <f ca="1">IFERROR(ROWSDUMMYFUNCTION(IF(A1220="","",CONCATENATE("https://us.pandora.net/on/demandware.static/-/Sites-pandora-master-catalog/default/dwbb259ca6/productimages/singlepackshot/",LEFT(A1220,FIND("-",A1220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21" spans="1:4" x14ac:dyDescent="0.25">
      <c r="A1221" s="3" t="s">
        <v>1223</v>
      </c>
      <c r="B1221" s="4">
        <v>39</v>
      </c>
      <c r="C1221" s="3" t="str">
        <f ca="1">IFERROR(ROWSDUMMYFUNCTION(IF(A1221="","",IFERROR(IMAGE(CONCATENATE("https://us.pandora.net/on/demandware.static/-/Sites-pandora-master-catalog/default/dwbb259ca6/productimages/singlepackshot/",LEFT(A1221,FIND("-",A1221&amp;"-")-1),"_RGB.png")),""))),"{""url"":""https://us.pandora.net/on/demandware.static/-/Sites-pandora-master-catalog/default/dwbb259ca6/productimages/singlepackshot/193089C01_RGB.png"",""mode"":1}")</f>
        <v>{"url":"https://us.pandora.net/on/demandware.static/-/Sites-pandora-master-catalog/default/dwbb259ca6/productimages/singlepackshot/193089C01_RGB.png","mode":1}</v>
      </c>
      <c r="D1221" s="5" t="str">
        <f ca="1">IFERROR(ROWSDUMMYFUNCTION(IF(A1221="","",CONCATENATE("https://us.pandora.net/on/demandware.static/-/Sites-pandora-master-catalog/default/dwbb259ca6/productimages/singlepackshot/",LEFT(A1221,FIND("-",A1221&amp;"-")-1),"_RGB.png"))),"https://us.pandora.net/on/demandware.static/-/Sites-pandora-master-catalog/default/dwbb259ca6/productimages/singlepackshot/193089C01_RGB.png")</f>
        <v>https://us.pandora.net/on/demandware.static/-/Sites-pandora-master-catalog/default/dwbb259ca6/productimages/singlepackshot/193089C01_RGB.png</v>
      </c>
    </row>
    <row r="1222" spans="1:4" x14ac:dyDescent="0.25">
      <c r="A1222" s="3" t="s">
        <v>1224</v>
      </c>
      <c r="B1222" s="4">
        <v>49</v>
      </c>
      <c r="C1222" s="3" t="str">
        <f ca="1">IFERROR(ROWSDUMMYFUNCTION(IF(A1222="","",IFERROR(IMAGE(CONCATENATE("https://us.pandora.net/on/demandware.static/-/Sites-pandora-master-catalog/default/dwbb259ca6/productimages/singlepackshot/",LEFT(A1222,FIND("-",A1222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2" s="5" t="str">
        <f ca="1">IFERROR(ROWSDUMMYFUNCTION(IF(A1222="","",CONCATENATE("https://us.pandora.net/on/demandware.static/-/Sites-pandora-master-catalog/default/dwbb259ca6/productimages/singlepackshot/",LEFT(A1222,FIND("-",A1222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3" spans="1:4" x14ac:dyDescent="0.25">
      <c r="A1223" s="3" t="s">
        <v>1225</v>
      </c>
      <c r="B1223" s="4">
        <v>49</v>
      </c>
      <c r="C1223" s="3" t="str">
        <f ca="1">IFERROR(ROWSDUMMYFUNCTION(IF(A1223="","",IFERROR(IMAGE(CONCATENATE("https://us.pandora.net/on/demandware.static/-/Sites-pandora-master-catalog/default/dwbb259ca6/productimages/singlepackshot/",LEFT(A1223,FIND("-",A1223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3" s="5" t="str">
        <f ca="1">IFERROR(ROWSDUMMYFUNCTION(IF(A1223="","",CONCATENATE("https://us.pandora.net/on/demandware.static/-/Sites-pandora-master-catalog/default/dwbb259ca6/productimages/singlepackshot/",LEFT(A1223,FIND("-",A1223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4" spans="1:4" x14ac:dyDescent="0.25">
      <c r="A1224" s="3" t="s">
        <v>1226</v>
      </c>
      <c r="B1224" s="4">
        <v>49</v>
      </c>
      <c r="C1224" s="3" t="str">
        <f ca="1">IFERROR(ROWSDUMMYFUNCTION(IF(A1224="","",IFERROR(IMAGE(CONCATENATE("https://us.pandora.net/on/demandware.static/-/Sites-pandora-master-catalog/default/dwbb259ca6/productimages/singlepackshot/",LEFT(A1224,FIND("-",A1224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4" s="5" t="str">
        <f ca="1">IFERROR(ROWSDUMMYFUNCTION(IF(A1224="","",CONCATENATE("https://us.pandora.net/on/demandware.static/-/Sites-pandora-master-catalog/default/dwbb259ca6/productimages/singlepackshot/",LEFT(A1224,FIND("-",A1224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5" spans="1:4" x14ac:dyDescent="0.25">
      <c r="A1225" s="3" t="s">
        <v>1227</v>
      </c>
      <c r="B1225" s="4">
        <v>49</v>
      </c>
      <c r="C1225" s="3" t="str">
        <f ca="1">IFERROR(ROWSDUMMYFUNCTION(IF(A1225="","",IFERROR(IMAGE(CONCATENATE("https://us.pandora.net/on/demandware.static/-/Sites-pandora-master-catalog/default/dwbb259ca6/productimages/singlepackshot/",LEFT(A1225,FIND("-",A1225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5" s="5" t="str">
        <f ca="1">IFERROR(ROWSDUMMYFUNCTION(IF(A1225="","",CONCATENATE("https://us.pandora.net/on/demandware.static/-/Sites-pandora-master-catalog/default/dwbb259ca6/productimages/singlepackshot/",LEFT(A1225,FIND("-",A1225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6" spans="1:4" x14ac:dyDescent="0.25">
      <c r="A1226" s="3" t="s">
        <v>1228</v>
      </c>
      <c r="B1226" s="4">
        <v>49</v>
      </c>
      <c r="C1226" s="3" t="str">
        <f ca="1">IFERROR(ROWSDUMMYFUNCTION(IF(A1226="","",IFERROR(IMAGE(CONCATENATE("https://us.pandora.net/on/demandware.static/-/Sites-pandora-master-catalog/default/dwbb259ca6/productimages/singlepackshot/",LEFT(A1226,FIND("-",A1226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6" s="5" t="str">
        <f ca="1">IFERROR(ROWSDUMMYFUNCTION(IF(A1226="","",CONCATENATE("https://us.pandora.net/on/demandware.static/-/Sites-pandora-master-catalog/default/dwbb259ca6/productimages/singlepackshot/",LEFT(A1226,FIND("-",A1226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7" spans="1:4" x14ac:dyDescent="0.25">
      <c r="A1227" s="3" t="s">
        <v>1229</v>
      </c>
      <c r="B1227" s="4">
        <v>49</v>
      </c>
      <c r="C1227" s="3" t="str">
        <f ca="1">IFERROR(ROWSDUMMYFUNCTION(IF(A1227="","",IFERROR(IMAGE(CONCATENATE("https://us.pandora.net/on/demandware.static/-/Sites-pandora-master-catalog/default/dwbb259ca6/productimages/singlepackshot/",LEFT(A1227,FIND("-",A1227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7" s="5" t="str">
        <f ca="1">IFERROR(ROWSDUMMYFUNCTION(IF(A1227="","",CONCATENATE("https://us.pandora.net/on/demandware.static/-/Sites-pandora-master-catalog/default/dwbb259ca6/productimages/singlepackshot/",LEFT(A1227,FIND("-",A1227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8" spans="1:4" x14ac:dyDescent="0.25">
      <c r="A1228" s="3" t="s">
        <v>1230</v>
      </c>
      <c r="B1228" s="4">
        <v>49</v>
      </c>
      <c r="C1228" s="3" t="str">
        <f ca="1">IFERROR(ROWSDUMMYFUNCTION(IF(A1228="","",IFERROR(IMAGE(CONCATENATE("https://us.pandora.net/on/demandware.static/-/Sites-pandora-master-catalog/default/dwbb259ca6/productimages/singlepackshot/",LEFT(A1228,FIND("-",A1228&amp;"-")-1),"_RGB.png")),""))),"{""url"":""https://us.pandora.net/on/demandware.static/-/Sites-pandora-master-catalog/default/dwbb259ca6/productimages/singlepackshot/193093C00_RGB.png"",""mode"":1}")</f>
        <v>{"url":"https://us.pandora.net/on/demandware.static/-/Sites-pandora-master-catalog/default/dwbb259ca6/productimages/singlepackshot/193093C00_RGB.png","mode":1}</v>
      </c>
      <c r="D1228" s="5" t="str">
        <f ca="1">IFERROR(ROWSDUMMYFUNCTION(IF(A1228="","",CONCATENATE("https://us.pandora.net/on/demandware.static/-/Sites-pandora-master-catalog/default/dwbb259ca6/productimages/singlepackshot/",LEFT(A1228,FIND("-",A1228&amp;"-")-1),"_RGB.png"))),"https://us.pandora.net/on/demandware.static/-/Sites-pandora-master-catalog/default/dwbb259ca6/productimages/singlepackshot/193093C00_RGB.png")</f>
        <v>https://us.pandora.net/on/demandware.static/-/Sites-pandora-master-catalog/default/dwbb259ca6/productimages/singlepackshot/193093C00_RGB.png</v>
      </c>
    </row>
    <row r="1229" spans="1:4" x14ac:dyDescent="0.25">
      <c r="A1229" s="3" t="s">
        <v>1231</v>
      </c>
      <c r="B1229" s="4">
        <v>29</v>
      </c>
      <c r="C1229" s="3" t="str">
        <f ca="1">IFERROR(ROWSDUMMYFUNCTION(IF(A1229="","",IFERROR(IMAGE(CONCATENATE("https://us.pandora.net/on/demandware.static/-/Sites-pandora-master-catalog/default/dwbb259ca6/productimages/singlepackshot/",LEFT(A1229,FIND("-",A1229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29" s="5" t="str">
        <f ca="1">IFERROR(ROWSDUMMYFUNCTION(IF(A1229="","",CONCATENATE("https://us.pandora.net/on/demandware.static/-/Sites-pandora-master-catalog/default/dwbb259ca6/productimages/singlepackshot/",LEFT(A1229,FIND("-",A1229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0" spans="1:4" x14ac:dyDescent="0.25">
      <c r="A1230" s="3" t="s">
        <v>1232</v>
      </c>
      <c r="B1230" s="4">
        <v>29</v>
      </c>
      <c r="C1230" s="3" t="str">
        <f ca="1">IFERROR(ROWSDUMMYFUNCTION(IF(A1230="","",IFERROR(IMAGE(CONCATENATE("https://us.pandora.net/on/demandware.static/-/Sites-pandora-master-catalog/default/dwbb259ca6/productimages/singlepackshot/",LEFT(A1230,FIND("-",A1230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30" s="5" t="str">
        <f ca="1">IFERROR(ROWSDUMMYFUNCTION(IF(A1230="","",CONCATENATE("https://us.pandora.net/on/demandware.static/-/Sites-pandora-master-catalog/default/dwbb259ca6/productimages/singlepackshot/",LEFT(A1230,FIND("-",A1230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1" spans="1:4" x14ac:dyDescent="0.25">
      <c r="A1231" s="3" t="s">
        <v>1233</v>
      </c>
      <c r="B1231" s="4">
        <v>29</v>
      </c>
      <c r="C1231" s="3" t="str">
        <f ca="1">IFERROR(ROWSDUMMYFUNCTION(IF(A1231="","",IFERROR(IMAGE(CONCATENATE("https://us.pandora.net/on/demandware.static/-/Sites-pandora-master-catalog/default/dwbb259ca6/productimages/singlepackshot/",LEFT(A1231,FIND("-",A1231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31" s="5" t="str">
        <f ca="1">IFERROR(ROWSDUMMYFUNCTION(IF(A1231="","",CONCATENATE("https://us.pandora.net/on/demandware.static/-/Sites-pandora-master-catalog/default/dwbb259ca6/productimages/singlepackshot/",LEFT(A1231,FIND("-",A1231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2" spans="1:4" x14ac:dyDescent="0.25">
      <c r="A1232" s="3" t="s">
        <v>1234</v>
      </c>
      <c r="B1232" s="4">
        <v>29</v>
      </c>
      <c r="C1232" s="3" t="str">
        <f ca="1">IFERROR(ROWSDUMMYFUNCTION(IF(A1232="","",IFERROR(IMAGE(CONCATENATE("https://us.pandora.net/on/demandware.static/-/Sites-pandora-master-catalog/default/dwbb259ca6/productimages/singlepackshot/",LEFT(A1232,FIND("-",A1232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32" s="5" t="str">
        <f ca="1">IFERROR(ROWSDUMMYFUNCTION(IF(A1232="","",CONCATENATE("https://us.pandora.net/on/demandware.static/-/Sites-pandora-master-catalog/default/dwbb259ca6/productimages/singlepackshot/",LEFT(A1232,FIND("-",A1232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3" spans="1:4" x14ac:dyDescent="0.25">
      <c r="A1233" s="3" t="s">
        <v>1235</v>
      </c>
      <c r="B1233" s="4">
        <v>29</v>
      </c>
      <c r="C1233" s="3" t="str">
        <f ca="1">IFERROR(ROWSDUMMYFUNCTION(IF(A1233="","",IFERROR(IMAGE(CONCATENATE("https://us.pandora.net/on/demandware.static/-/Sites-pandora-master-catalog/default/dwbb259ca6/productimages/singlepackshot/",LEFT(A1233,FIND("-",A1233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33" s="5" t="str">
        <f ca="1">IFERROR(ROWSDUMMYFUNCTION(IF(A1233="","",CONCATENATE("https://us.pandora.net/on/demandware.static/-/Sites-pandora-master-catalog/default/dwbb259ca6/productimages/singlepackshot/",LEFT(A1233,FIND("-",A1233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4" spans="1:4" x14ac:dyDescent="0.25">
      <c r="A1234" s="3" t="s">
        <v>1236</v>
      </c>
      <c r="B1234" s="4">
        <v>29</v>
      </c>
      <c r="C1234" s="3" t="str">
        <f ca="1">IFERROR(ROWSDUMMYFUNCTION(IF(A1234="","",IFERROR(IMAGE(CONCATENATE("https://us.pandora.net/on/demandware.static/-/Sites-pandora-master-catalog/default/dwbb259ca6/productimages/singlepackshot/",LEFT(A1234,FIND("-",A1234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34" s="5" t="str">
        <f ca="1">IFERROR(ROWSDUMMYFUNCTION(IF(A1234="","",CONCATENATE("https://us.pandora.net/on/demandware.static/-/Sites-pandora-master-catalog/default/dwbb259ca6/productimages/singlepackshot/",LEFT(A1234,FIND("-",A1234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5" spans="1:4" x14ac:dyDescent="0.25">
      <c r="A1235" s="3" t="s">
        <v>1237</v>
      </c>
      <c r="B1235" s="4">
        <v>29</v>
      </c>
      <c r="C1235" s="3" t="str">
        <f ca="1">IFERROR(ROWSDUMMYFUNCTION(IF(A1235="","",IFERROR(IMAGE(CONCATENATE("https://us.pandora.net/on/demandware.static/-/Sites-pandora-master-catalog/default/dwbb259ca6/productimages/singlepackshot/",LEFT(A1235,FIND("-",A1235&amp;"-")-1),"_RGB.png")),""))),"{""url"":""https://us.pandora.net/on/demandware.static/-/Sites-pandora-master-catalog/default/dwbb259ca6/productimages/singlepackshot/193095C00_RGB.png"",""mode"":1}")</f>
        <v>{"url":"https://us.pandora.net/on/demandware.static/-/Sites-pandora-master-catalog/default/dwbb259ca6/productimages/singlepackshot/193095C00_RGB.png","mode":1}</v>
      </c>
      <c r="D1235" s="5" t="str">
        <f ca="1">IFERROR(ROWSDUMMYFUNCTION(IF(A1235="","",CONCATENATE("https://us.pandora.net/on/demandware.static/-/Sites-pandora-master-catalog/default/dwbb259ca6/productimages/singlepackshot/",LEFT(A1235,FIND("-",A1235&amp;"-")-1),"_RGB.png"))),"https://us.pandora.net/on/demandware.static/-/Sites-pandora-master-catalog/default/dwbb259ca6/productimages/singlepackshot/193095C00_RGB.png")</f>
        <v>https://us.pandora.net/on/demandware.static/-/Sites-pandora-master-catalog/default/dwbb259ca6/productimages/singlepackshot/193095C00_RGB.png</v>
      </c>
    </row>
    <row r="1236" spans="1:4" x14ac:dyDescent="0.25">
      <c r="A1236" s="3" t="s">
        <v>1238</v>
      </c>
      <c r="B1236" s="4">
        <v>59</v>
      </c>
      <c r="C1236" s="3" t="str">
        <f ca="1">IFERROR(ROWSDUMMYFUNCTION(IF(A1236="","",IFERROR(IMAGE(CONCATENATE("https://us.pandora.net/on/demandware.static/-/Sites-pandora-master-catalog/default/dwbb259ca6/productimages/singlepackshot/",LEFT(A1236,FIND("-",A1236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36" s="5" t="str">
        <f ca="1">IFERROR(ROWSDUMMYFUNCTION(IF(A1236="","",CONCATENATE("https://us.pandora.net/on/demandware.static/-/Sites-pandora-master-catalog/default/dwbb259ca6/productimages/singlepackshot/",LEFT(A1236,FIND("-",A1236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37" spans="1:4" x14ac:dyDescent="0.25">
      <c r="A1237" s="3" t="s">
        <v>1239</v>
      </c>
      <c r="B1237" s="4">
        <v>59</v>
      </c>
      <c r="C1237" s="3" t="str">
        <f ca="1">IFERROR(ROWSDUMMYFUNCTION(IF(A1237="","",IFERROR(IMAGE(CONCATENATE("https://us.pandora.net/on/demandware.static/-/Sites-pandora-master-catalog/default/dwbb259ca6/productimages/singlepackshot/",LEFT(A1237,FIND("-",A1237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37" s="5" t="str">
        <f ca="1">IFERROR(ROWSDUMMYFUNCTION(IF(A1237="","",CONCATENATE("https://us.pandora.net/on/demandware.static/-/Sites-pandora-master-catalog/default/dwbb259ca6/productimages/singlepackshot/",LEFT(A1237,FIND("-",A1237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38" spans="1:4" x14ac:dyDescent="0.25">
      <c r="A1238" s="3" t="s">
        <v>1240</v>
      </c>
      <c r="B1238" s="4">
        <v>59</v>
      </c>
      <c r="C1238" s="3" t="str">
        <f ca="1">IFERROR(ROWSDUMMYFUNCTION(IF(A1238="","",IFERROR(IMAGE(CONCATENATE("https://us.pandora.net/on/demandware.static/-/Sites-pandora-master-catalog/default/dwbb259ca6/productimages/singlepackshot/",LEFT(A1238,FIND("-",A1238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38" s="5" t="str">
        <f ca="1">IFERROR(ROWSDUMMYFUNCTION(IF(A1238="","",CONCATENATE("https://us.pandora.net/on/demandware.static/-/Sites-pandora-master-catalog/default/dwbb259ca6/productimages/singlepackshot/",LEFT(A1238,FIND("-",A1238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39" spans="1:4" x14ac:dyDescent="0.25">
      <c r="A1239" s="3" t="s">
        <v>1241</v>
      </c>
      <c r="B1239" s="4">
        <v>59</v>
      </c>
      <c r="C1239" s="3" t="str">
        <f ca="1">IFERROR(ROWSDUMMYFUNCTION(IF(A1239="","",IFERROR(IMAGE(CONCATENATE("https://us.pandora.net/on/demandware.static/-/Sites-pandora-master-catalog/default/dwbb259ca6/productimages/singlepackshot/",LEFT(A1239,FIND("-",A1239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39" s="5" t="str">
        <f ca="1">IFERROR(ROWSDUMMYFUNCTION(IF(A1239="","",CONCATENATE("https://us.pandora.net/on/demandware.static/-/Sites-pandora-master-catalog/default/dwbb259ca6/productimages/singlepackshot/",LEFT(A1239,FIND("-",A1239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40" spans="1:4" x14ac:dyDescent="0.25">
      <c r="A1240" s="3" t="s">
        <v>1242</v>
      </c>
      <c r="B1240" s="4">
        <v>59</v>
      </c>
      <c r="C1240" s="3" t="str">
        <f ca="1">IFERROR(ROWSDUMMYFUNCTION(IF(A1240="","",IFERROR(IMAGE(CONCATENATE("https://us.pandora.net/on/demandware.static/-/Sites-pandora-master-catalog/default/dwbb259ca6/productimages/singlepackshot/",LEFT(A1240,FIND("-",A1240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40" s="5" t="str">
        <f ca="1">IFERROR(ROWSDUMMYFUNCTION(IF(A1240="","",CONCATENATE("https://us.pandora.net/on/demandware.static/-/Sites-pandora-master-catalog/default/dwbb259ca6/productimages/singlepackshot/",LEFT(A1240,FIND("-",A1240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41" spans="1:4" x14ac:dyDescent="0.25">
      <c r="A1241" s="3" t="s">
        <v>1243</v>
      </c>
      <c r="B1241" s="4">
        <v>59</v>
      </c>
      <c r="C1241" s="3" t="str">
        <f ca="1">IFERROR(ROWSDUMMYFUNCTION(IF(A1241="","",IFERROR(IMAGE(CONCATENATE("https://us.pandora.net/on/demandware.static/-/Sites-pandora-master-catalog/default/dwbb259ca6/productimages/singlepackshot/",LEFT(A1241,FIND("-",A1241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41" s="5" t="str">
        <f ca="1">IFERROR(ROWSDUMMYFUNCTION(IF(A1241="","",CONCATENATE("https://us.pandora.net/on/demandware.static/-/Sites-pandora-master-catalog/default/dwbb259ca6/productimages/singlepackshot/",LEFT(A1241,FIND("-",A1241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42" spans="1:4" x14ac:dyDescent="0.25">
      <c r="A1242" s="3" t="s">
        <v>1244</v>
      </c>
      <c r="B1242" s="4">
        <v>59</v>
      </c>
      <c r="C1242" s="3" t="str">
        <f ca="1">IFERROR(ROWSDUMMYFUNCTION(IF(A1242="","",IFERROR(IMAGE(CONCATENATE("https://us.pandora.net/on/demandware.static/-/Sites-pandora-master-catalog/default/dwbb259ca6/productimages/singlepackshot/",LEFT(A1242,FIND("-",A1242&amp;"-")-1),"_RGB.png")),""))),"{""url"":""https://us.pandora.net/on/demandware.static/-/Sites-pandora-master-catalog/default/dwbb259ca6/productimages/singlepackshot/193098C01_RGB.png"",""mode"":1}")</f>
        <v>{"url":"https://us.pandora.net/on/demandware.static/-/Sites-pandora-master-catalog/default/dwbb259ca6/productimages/singlepackshot/193098C01_RGB.png","mode":1}</v>
      </c>
      <c r="D1242" s="5" t="str">
        <f ca="1">IFERROR(ROWSDUMMYFUNCTION(IF(A1242="","",CONCATENATE("https://us.pandora.net/on/demandware.static/-/Sites-pandora-master-catalog/default/dwbb259ca6/productimages/singlepackshot/",LEFT(A1242,FIND("-",A1242&amp;"-")-1),"_RGB.png"))),"https://us.pandora.net/on/demandware.static/-/Sites-pandora-master-catalog/default/dwbb259ca6/productimages/singlepackshot/193098C01_RGB.png")</f>
        <v>https://us.pandora.net/on/demandware.static/-/Sites-pandora-master-catalog/default/dwbb259ca6/productimages/singlepackshot/193098C01_RGB.png</v>
      </c>
    </row>
    <row r="1243" spans="1:4" x14ac:dyDescent="0.25">
      <c r="A1243" s="3" t="s">
        <v>1245</v>
      </c>
      <c r="B1243" s="4">
        <v>79</v>
      </c>
      <c r="C1243" s="3" t="str">
        <f ca="1">IFERROR(ROWSDUMMYFUNCTION(IF(A1243="","",IFERROR(IMAGE(CONCATENATE("https://us.pandora.net/on/demandware.static/-/Sites-pandora-master-catalog/default/dwbb259ca6/productimages/singlepackshot/",LEFT(A1243,FIND("-",A1243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3" s="5" t="str">
        <f ca="1">IFERROR(ROWSDUMMYFUNCTION(IF(A1243="","",CONCATENATE("https://us.pandora.net/on/demandware.static/-/Sites-pandora-master-catalog/default/dwbb259ca6/productimages/singlepackshot/",LEFT(A1243,FIND("-",A1243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44" spans="1:4" x14ac:dyDescent="0.25">
      <c r="A1244" s="3" t="s">
        <v>1246</v>
      </c>
      <c r="B1244" s="4">
        <v>79</v>
      </c>
      <c r="C1244" s="3" t="str">
        <f ca="1">IFERROR(ROWSDUMMYFUNCTION(IF(A1244="","",IFERROR(IMAGE(CONCATENATE("https://us.pandora.net/on/demandware.static/-/Sites-pandora-master-catalog/default/dwbb259ca6/productimages/singlepackshot/",LEFT(A1244,FIND("-",A1244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4" s="5" t="str">
        <f ca="1">IFERROR(ROWSDUMMYFUNCTION(IF(A1244="","",CONCATENATE("https://us.pandora.net/on/demandware.static/-/Sites-pandora-master-catalog/default/dwbb259ca6/productimages/singlepackshot/",LEFT(A1244,FIND("-",A1244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45" spans="1:4" x14ac:dyDescent="0.25">
      <c r="A1245" s="3" t="s">
        <v>1247</v>
      </c>
      <c r="B1245" s="4">
        <v>79</v>
      </c>
      <c r="C1245" s="3" t="str">
        <f ca="1">IFERROR(ROWSDUMMYFUNCTION(IF(A1245="","",IFERROR(IMAGE(CONCATENATE("https://us.pandora.net/on/demandware.static/-/Sites-pandora-master-catalog/default/dwbb259ca6/productimages/singlepackshot/",LEFT(A1245,FIND("-",A1245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5" s="5" t="str">
        <f ca="1">IFERROR(ROWSDUMMYFUNCTION(IF(A1245="","",CONCATENATE("https://us.pandora.net/on/demandware.static/-/Sites-pandora-master-catalog/default/dwbb259ca6/productimages/singlepackshot/",LEFT(A1245,FIND("-",A1245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46" spans="1:4" x14ac:dyDescent="0.25">
      <c r="A1246" s="3" t="s">
        <v>1248</v>
      </c>
      <c r="B1246" s="4">
        <v>79</v>
      </c>
      <c r="C1246" s="3" t="str">
        <f ca="1">IFERROR(ROWSDUMMYFUNCTION(IF(A1246="","",IFERROR(IMAGE(CONCATENATE("https://us.pandora.net/on/demandware.static/-/Sites-pandora-master-catalog/default/dwbb259ca6/productimages/singlepackshot/",LEFT(A1246,FIND("-",A1246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6" s="5" t="str">
        <f ca="1">IFERROR(ROWSDUMMYFUNCTION(IF(A1246="","",CONCATENATE("https://us.pandora.net/on/demandware.static/-/Sites-pandora-master-catalog/default/dwbb259ca6/productimages/singlepackshot/",LEFT(A1246,FIND("-",A1246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47" spans="1:4" x14ac:dyDescent="0.25">
      <c r="A1247" s="3" t="s">
        <v>1249</v>
      </c>
      <c r="B1247" s="4">
        <v>79</v>
      </c>
      <c r="C1247" s="3" t="str">
        <f ca="1">IFERROR(ROWSDUMMYFUNCTION(IF(A1247="","",IFERROR(IMAGE(CONCATENATE("https://us.pandora.net/on/demandware.static/-/Sites-pandora-master-catalog/default/dwbb259ca6/productimages/singlepackshot/",LEFT(A1247,FIND("-",A1247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7" s="5" t="str">
        <f ca="1">IFERROR(ROWSDUMMYFUNCTION(IF(A1247="","",CONCATENATE("https://us.pandora.net/on/demandware.static/-/Sites-pandora-master-catalog/default/dwbb259ca6/productimages/singlepackshot/",LEFT(A1247,FIND("-",A1247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48" spans="1:4" x14ac:dyDescent="0.25">
      <c r="A1248" s="3" t="s">
        <v>1250</v>
      </c>
      <c r="B1248" s="4">
        <v>79</v>
      </c>
      <c r="C1248" s="3" t="str">
        <f ca="1">IFERROR(ROWSDUMMYFUNCTION(IF(A1248="","",IFERROR(IMAGE(CONCATENATE("https://us.pandora.net/on/demandware.static/-/Sites-pandora-master-catalog/default/dwbb259ca6/productimages/singlepackshot/",LEFT(A1248,FIND("-",A1248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8" s="5" t="str">
        <f ca="1">IFERROR(ROWSDUMMYFUNCTION(IF(A1248="","",CONCATENATE("https://us.pandora.net/on/demandware.static/-/Sites-pandora-master-catalog/default/dwbb259ca6/productimages/singlepackshot/",LEFT(A1248,FIND("-",A1248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49" spans="1:4" x14ac:dyDescent="0.25">
      <c r="A1249" s="3" t="s">
        <v>1251</v>
      </c>
      <c r="B1249" s="4">
        <v>79</v>
      </c>
      <c r="C1249" s="3" t="str">
        <f ca="1">IFERROR(ROWSDUMMYFUNCTION(IF(A1249="","",IFERROR(IMAGE(CONCATENATE("https://us.pandora.net/on/demandware.static/-/Sites-pandora-master-catalog/default/dwbb259ca6/productimages/singlepackshot/",LEFT(A1249,FIND("-",A1249&amp;"-")-1),"_RGB.png")),""))),"{""url"":""https://us.pandora.net/on/demandware.static/-/Sites-pandora-master-catalog/default/dwbb259ca6/productimages/singlepackshot/193100C01_RGB.png"",""mode"":1}")</f>
        <v>{"url":"https://us.pandora.net/on/demandware.static/-/Sites-pandora-master-catalog/default/dwbb259ca6/productimages/singlepackshot/193100C01_RGB.png","mode":1}</v>
      </c>
      <c r="D1249" s="5" t="str">
        <f ca="1">IFERROR(ROWSDUMMYFUNCTION(IF(A1249="","",CONCATENATE("https://us.pandora.net/on/demandware.static/-/Sites-pandora-master-catalog/default/dwbb259ca6/productimages/singlepackshot/",LEFT(A1249,FIND("-",A1249&amp;"-")-1),"_RGB.png"))),"https://us.pandora.net/on/demandware.static/-/Sites-pandora-master-catalog/default/dwbb259ca6/productimages/singlepackshot/193100C01_RGB.png")</f>
        <v>https://us.pandora.net/on/demandware.static/-/Sites-pandora-master-catalog/default/dwbb259ca6/productimages/singlepackshot/193100C01_RGB.png</v>
      </c>
    </row>
    <row r="1250" spans="1:4" x14ac:dyDescent="0.25">
      <c r="A1250" s="3" t="s">
        <v>1252</v>
      </c>
      <c r="B1250" s="4">
        <v>89</v>
      </c>
      <c r="C1250" s="3" t="str">
        <f ca="1">IFERROR(ROWSDUMMYFUNCTION(IF(A1250="","",IFERROR(IMAGE(CONCATENATE("https://us.pandora.net/on/demandware.static/-/Sites-pandora-master-catalog/default/dwbb259ca6/productimages/singlepackshot/",LEFT(A1250,FIND("-",A1250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0" s="5" t="str">
        <f ca="1">IFERROR(ROWSDUMMYFUNCTION(IF(A1250="","",CONCATENATE("https://us.pandora.net/on/demandware.static/-/Sites-pandora-master-catalog/default/dwbb259ca6/productimages/singlepackshot/",LEFT(A1250,FIND("-",A1250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1" spans="1:4" x14ac:dyDescent="0.25">
      <c r="A1251" s="3" t="s">
        <v>1253</v>
      </c>
      <c r="B1251" s="4">
        <v>89</v>
      </c>
      <c r="C1251" s="3" t="str">
        <f ca="1">IFERROR(ROWSDUMMYFUNCTION(IF(A1251="","",IFERROR(IMAGE(CONCATENATE("https://us.pandora.net/on/demandware.static/-/Sites-pandora-master-catalog/default/dwbb259ca6/productimages/singlepackshot/",LEFT(A1251,FIND("-",A1251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1" s="5" t="str">
        <f ca="1">IFERROR(ROWSDUMMYFUNCTION(IF(A1251="","",CONCATENATE("https://us.pandora.net/on/demandware.static/-/Sites-pandora-master-catalog/default/dwbb259ca6/productimages/singlepackshot/",LEFT(A1251,FIND("-",A1251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2" spans="1:4" x14ac:dyDescent="0.25">
      <c r="A1252" s="3" t="s">
        <v>1254</v>
      </c>
      <c r="B1252" s="4">
        <v>89</v>
      </c>
      <c r="C1252" s="3" t="str">
        <f ca="1">IFERROR(ROWSDUMMYFUNCTION(IF(A1252="","",IFERROR(IMAGE(CONCATENATE("https://us.pandora.net/on/demandware.static/-/Sites-pandora-master-catalog/default/dwbb259ca6/productimages/singlepackshot/",LEFT(A1252,FIND("-",A1252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2" s="5" t="str">
        <f ca="1">IFERROR(ROWSDUMMYFUNCTION(IF(A1252="","",CONCATENATE("https://us.pandora.net/on/demandware.static/-/Sites-pandora-master-catalog/default/dwbb259ca6/productimages/singlepackshot/",LEFT(A1252,FIND("-",A1252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3" spans="1:4" x14ac:dyDescent="0.25">
      <c r="A1253" s="3" t="s">
        <v>1255</v>
      </c>
      <c r="B1253" s="4">
        <v>89</v>
      </c>
      <c r="C1253" s="3" t="str">
        <f ca="1">IFERROR(ROWSDUMMYFUNCTION(IF(A1253="","",IFERROR(IMAGE(CONCATENATE("https://us.pandora.net/on/demandware.static/-/Sites-pandora-master-catalog/default/dwbb259ca6/productimages/singlepackshot/",LEFT(A1253,FIND("-",A1253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3" s="5" t="str">
        <f ca="1">IFERROR(ROWSDUMMYFUNCTION(IF(A1253="","",CONCATENATE("https://us.pandora.net/on/demandware.static/-/Sites-pandora-master-catalog/default/dwbb259ca6/productimages/singlepackshot/",LEFT(A1253,FIND("-",A1253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4" spans="1:4" x14ac:dyDescent="0.25">
      <c r="A1254" s="3" t="s">
        <v>1256</v>
      </c>
      <c r="B1254" s="4">
        <v>89</v>
      </c>
      <c r="C1254" s="3" t="str">
        <f ca="1">IFERROR(ROWSDUMMYFUNCTION(IF(A1254="","",IFERROR(IMAGE(CONCATENATE("https://us.pandora.net/on/demandware.static/-/Sites-pandora-master-catalog/default/dwbb259ca6/productimages/singlepackshot/",LEFT(A1254,FIND("-",A1254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4" s="5" t="str">
        <f ca="1">IFERROR(ROWSDUMMYFUNCTION(IF(A1254="","",CONCATENATE("https://us.pandora.net/on/demandware.static/-/Sites-pandora-master-catalog/default/dwbb259ca6/productimages/singlepackshot/",LEFT(A1254,FIND("-",A1254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5" spans="1:4" x14ac:dyDescent="0.25">
      <c r="A1255" s="3" t="s">
        <v>1257</v>
      </c>
      <c r="B1255" s="4">
        <v>89</v>
      </c>
      <c r="C1255" s="3" t="str">
        <f ca="1">IFERROR(ROWSDUMMYFUNCTION(IF(A1255="","",IFERROR(IMAGE(CONCATENATE("https://us.pandora.net/on/demandware.static/-/Sites-pandora-master-catalog/default/dwbb259ca6/productimages/singlepackshot/",LEFT(A1255,FIND("-",A1255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5" s="5" t="str">
        <f ca="1">IFERROR(ROWSDUMMYFUNCTION(IF(A1255="","",CONCATENATE("https://us.pandora.net/on/demandware.static/-/Sites-pandora-master-catalog/default/dwbb259ca6/productimages/singlepackshot/",LEFT(A1255,FIND("-",A1255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6" spans="1:4" x14ac:dyDescent="0.25">
      <c r="A1256" s="3" t="s">
        <v>1258</v>
      </c>
      <c r="B1256" s="4">
        <v>89</v>
      </c>
      <c r="C1256" s="3" t="str">
        <f ca="1">IFERROR(ROWSDUMMYFUNCTION(IF(A1256="","",IFERROR(IMAGE(CONCATENATE("https://us.pandora.net/on/demandware.static/-/Sites-pandora-master-catalog/default/dwbb259ca6/productimages/singlepackshot/",LEFT(A1256,FIND("-",A1256&amp;"-")-1),"_RGB.png")),""))),"{""url"":""https://us.pandora.net/on/demandware.static/-/Sites-pandora-master-catalog/default/dwbb259ca6/productimages/singlepackshot/193103C01_RGB.png"",""mode"":1}")</f>
        <v>{"url":"https://us.pandora.net/on/demandware.static/-/Sites-pandora-master-catalog/default/dwbb259ca6/productimages/singlepackshot/193103C01_RGB.png","mode":1}</v>
      </c>
      <c r="D1256" s="5" t="str">
        <f ca="1">IFERROR(ROWSDUMMYFUNCTION(IF(A1256="","",CONCATENATE("https://us.pandora.net/on/demandware.static/-/Sites-pandora-master-catalog/default/dwbb259ca6/productimages/singlepackshot/",LEFT(A1256,FIND("-",A1256&amp;"-")-1),"_RGB.png"))),"https://us.pandora.net/on/demandware.static/-/Sites-pandora-master-catalog/default/dwbb259ca6/productimages/singlepackshot/193103C01_RGB.png")</f>
        <v>https://us.pandora.net/on/demandware.static/-/Sites-pandora-master-catalog/default/dwbb259ca6/productimages/singlepackshot/193103C01_RGB.png</v>
      </c>
    </row>
    <row r="1257" spans="1:4" x14ac:dyDescent="0.25">
      <c r="A1257" s="3" t="s">
        <v>1259</v>
      </c>
      <c r="B1257" s="4">
        <v>129</v>
      </c>
      <c r="C1257" s="3" t="str">
        <f ca="1">IFERROR(ROWSDUMMYFUNCTION(IF(A1257="","",IFERROR(IMAGE(CONCATENATE("https://us.pandora.net/on/demandware.static/-/Sites-pandora-master-catalog/default/dwbb259ca6/productimages/singlepackshot/",LEFT(A1257,FIND("-",A1257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57" s="5" t="str">
        <f ca="1">IFERROR(ROWSDUMMYFUNCTION(IF(A1257="","",CONCATENATE("https://us.pandora.net/on/demandware.static/-/Sites-pandora-master-catalog/default/dwbb259ca6/productimages/singlepackshot/",LEFT(A1257,FIND("-",A1257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58" spans="1:4" x14ac:dyDescent="0.25">
      <c r="A1258" s="3" t="s">
        <v>1260</v>
      </c>
      <c r="B1258" s="4">
        <v>129</v>
      </c>
      <c r="C1258" s="3" t="str">
        <f ca="1">IFERROR(ROWSDUMMYFUNCTION(IF(A1258="","",IFERROR(IMAGE(CONCATENATE("https://us.pandora.net/on/demandware.static/-/Sites-pandora-master-catalog/default/dwbb259ca6/productimages/singlepackshot/",LEFT(A1258,FIND("-",A1258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58" s="5" t="str">
        <f ca="1">IFERROR(ROWSDUMMYFUNCTION(IF(A1258="","",CONCATENATE("https://us.pandora.net/on/demandware.static/-/Sites-pandora-master-catalog/default/dwbb259ca6/productimages/singlepackshot/",LEFT(A1258,FIND("-",A1258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59" spans="1:4" x14ac:dyDescent="0.25">
      <c r="A1259" s="3" t="s">
        <v>1261</v>
      </c>
      <c r="B1259" s="4">
        <v>129</v>
      </c>
      <c r="C1259" s="3" t="str">
        <f ca="1">IFERROR(ROWSDUMMYFUNCTION(IF(A1259="","",IFERROR(IMAGE(CONCATENATE("https://us.pandora.net/on/demandware.static/-/Sites-pandora-master-catalog/default/dwbb259ca6/productimages/singlepackshot/",LEFT(A1259,FIND("-",A1259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59" s="5" t="str">
        <f ca="1">IFERROR(ROWSDUMMYFUNCTION(IF(A1259="","",CONCATENATE("https://us.pandora.net/on/demandware.static/-/Sites-pandora-master-catalog/default/dwbb259ca6/productimages/singlepackshot/",LEFT(A1259,FIND("-",A1259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60" spans="1:4" x14ac:dyDescent="0.25">
      <c r="A1260" s="3" t="s">
        <v>1262</v>
      </c>
      <c r="B1260" s="4">
        <v>129</v>
      </c>
      <c r="C1260" s="3" t="str">
        <f ca="1">IFERROR(ROWSDUMMYFUNCTION(IF(A1260="","",IFERROR(IMAGE(CONCATENATE("https://us.pandora.net/on/demandware.static/-/Sites-pandora-master-catalog/default/dwbb259ca6/productimages/singlepackshot/",LEFT(A1260,FIND("-",A1260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60" s="5" t="str">
        <f ca="1">IFERROR(ROWSDUMMYFUNCTION(IF(A1260="","",CONCATENATE("https://us.pandora.net/on/demandware.static/-/Sites-pandora-master-catalog/default/dwbb259ca6/productimages/singlepackshot/",LEFT(A1260,FIND("-",A1260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61" spans="1:4" x14ac:dyDescent="0.25">
      <c r="A1261" s="3" t="s">
        <v>1263</v>
      </c>
      <c r="B1261" s="4">
        <v>129</v>
      </c>
      <c r="C1261" s="3" t="str">
        <f ca="1">IFERROR(ROWSDUMMYFUNCTION(IF(A1261="","",IFERROR(IMAGE(CONCATENATE("https://us.pandora.net/on/demandware.static/-/Sites-pandora-master-catalog/default/dwbb259ca6/productimages/singlepackshot/",LEFT(A1261,FIND("-",A1261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61" s="5" t="str">
        <f ca="1">IFERROR(ROWSDUMMYFUNCTION(IF(A1261="","",CONCATENATE("https://us.pandora.net/on/demandware.static/-/Sites-pandora-master-catalog/default/dwbb259ca6/productimages/singlepackshot/",LEFT(A1261,FIND("-",A1261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62" spans="1:4" x14ac:dyDescent="0.25">
      <c r="A1262" s="3" t="s">
        <v>1264</v>
      </c>
      <c r="B1262" s="4">
        <v>129</v>
      </c>
      <c r="C1262" s="3" t="str">
        <f ca="1">IFERROR(ROWSDUMMYFUNCTION(IF(A1262="","",IFERROR(IMAGE(CONCATENATE("https://us.pandora.net/on/demandware.static/-/Sites-pandora-master-catalog/default/dwbb259ca6/productimages/singlepackshot/",LEFT(A1262,FIND("-",A1262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62" s="5" t="str">
        <f ca="1">IFERROR(ROWSDUMMYFUNCTION(IF(A1262="","",CONCATENATE("https://us.pandora.net/on/demandware.static/-/Sites-pandora-master-catalog/default/dwbb259ca6/productimages/singlepackshot/",LEFT(A1262,FIND("-",A1262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63" spans="1:4" x14ac:dyDescent="0.25">
      <c r="A1263" s="3" t="s">
        <v>1265</v>
      </c>
      <c r="B1263" s="4">
        <v>129</v>
      </c>
      <c r="C1263" s="3" t="str">
        <f ca="1">IFERROR(ROWSDUMMYFUNCTION(IF(A1263="","",IFERROR(IMAGE(CONCATENATE("https://us.pandora.net/on/demandware.static/-/Sites-pandora-master-catalog/default/dwbb259ca6/productimages/singlepackshot/",LEFT(A1263,FIND("-",A1263&amp;"-")-1),"_RGB.png")),""))),"{""url"":""https://us.pandora.net/on/demandware.static/-/Sites-pandora-master-catalog/default/dwbb259ca6/productimages/singlepackshot/193145C01_RGB.png"",""mode"":1}")</f>
        <v>{"url":"https://us.pandora.net/on/demandware.static/-/Sites-pandora-master-catalog/default/dwbb259ca6/productimages/singlepackshot/193145C01_RGB.png","mode":1}</v>
      </c>
      <c r="D1263" s="5" t="str">
        <f ca="1">IFERROR(ROWSDUMMYFUNCTION(IF(A1263="","",CONCATENATE("https://us.pandora.net/on/demandware.static/-/Sites-pandora-master-catalog/default/dwbb259ca6/productimages/singlepackshot/",LEFT(A1263,FIND("-",A1263&amp;"-")-1),"_RGB.png"))),"https://us.pandora.net/on/demandware.static/-/Sites-pandora-master-catalog/default/dwbb259ca6/productimages/singlepackshot/193145C01_RGB.png")</f>
        <v>https://us.pandora.net/on/demandware.static/-/Sites-pandora-master-catalog/default/dwbb259ca6/productimages/singlepackshot/193145C01_RGB.png</v>
      </c>
    </row>
    <row r="1264" spans="1:4" x14ac:dyDescent="0.25">
      <c r="A1264" s="3" t="s">
        <v>1266</v>
      </c>
      <c r="B1264" s="4">
        <v>99</v>
      </c>
      <c r="C1264" s="3" t="str">
        <f ca="1">IFERROR(ROWSDUMMYFUNCTION(IF(A1264="","",IFERROR(IMAGE(CONCATENATE("https://us.pandora.net/on/demandware.static/-/Sites-pandora-master-catalog/default/dwbb259ca6/productimages/singlepackshot/",LEFT(A1264,FIND("-",A1264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64" s="5" t="str">
        <f ca="1">IFERROR(ROWSDUMMYFUNCTION(IF(A1264="","",CONCATENATE("https://us.pandora.net/on/demandware.static/-/Sites-pandora-master-catalog/default/dwbb259ca6/productimages/singlepackshot/",LEFT(A1264,FIND("-",A1264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65" spans="1:4" x14ac:dyDescent="0.25">
      <c r="A1265" s="3" t="s">
        <v>1267</v>
      </c>
      <c r="B1265" s="4">
        <v>99</v>
      </c>
      <c r="C1265" s="3" t="str">
        <f ca="1">IFERROR(ROWSDUMMYFUNCTION(IF(A1265="","",IFERROR(IMAGE(CONCATENATE("https://us.pandora.net/on/demandware.static/-/Sites-pandora-master-catalog/default/dwbb259ca6/productimages/singlepackshot/",LEFT(A1265,FIND("-",A1265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65" s="5" t="str">
        <f ca="1">IFERROR(ROWSDUMMYFUNCTION(IF(A1265="","",CONCATENATE("https://us.pandora.net/on/demandware.static/-/Sites-pandora-master-catalog/default/dwbb259ca6/productimages/singlepackshot/",LEFT(A1265,FIND("-",A1265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66" spans="1:4" x14ac:dyDescent="0.25">
      <c r="A1266" s="3" t="s">
        <v>1268</v>
      </c>
      <c r="B1266" s="4">
        <v>99</v>
      </c>
      <c r="C1266" s="3" t="str">
        <f ca="1">IFERROR(ROWSDUMMYFUNCTION(IF(A1266="","",IFERROR(IMAGE(CONCATENATE("https://us.pandora.net/on/demandware.static/-/Sites-pandora-master-catalog/default/dwbb259ca6/productimages/singlepackshot/",LEFT(A1266,FIND("-",A1266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66" s="5" t="str">
        <f ca="1">IFERROR(ROWSDUMMYFUNCTION(IF(A1266="","",CONCATENATE("https://us.pandora.net/on/demandware.static/-/Sites-pandora-master-catalog/default/dwbb259ca6/productimages/singlepackshot/",LEFT(A1266,FIND("-",A1266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67" spans="1:4" x14ac:dyDescent="0.25">
      <c r="A1267" s="3" t="s">
        <v>1269</v>
      </c>
      <c r="B1267" s="4">
        <v>99</v>
      </c>
      <c r="C1267" s="3" t="str">
        <f ca="1">IFERROR(ROWSDUMMYFUNCTION(IF(A1267="","",IFERROR(IMAGE(CONCATENATE("https://us.pandora.net/on/demandware.static/-/Sites-pandora-master-catalog/default/dwbb259ca6/productimages/singlepackshot/",LEFT(A1267,FIND("-",A1267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67" s="5" t="str">
        <f ca="1">IFERROR(ROWSDUMMYFUNCTION(IF(A1267="","",CONCATENATE("https://us.pandora.net/on/demandware.static/-/Sites-pandora-master-catalog/default/dwbb259ca6/productimages/singlepackshot/",LEFT(A1267,FIND("-",A1267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68" spans="1:4" x14ac:dyDescent="0.25">
      <c r="A1268" s="3" t="s">
        <v>1270</v>
      </c>
      <c r="B1268" s="4">
        <v>99</v>
      </c>
      <c r="C1268" s="3" t="str">
        <f ca="1">IFERROR(ROWSDUMMYFUNCTION(IF(A1268="","",IFERROR(IMAGE(CONCATENATE("https://us.pandora.net/on/demandware.static/-/Sites-pandora-master-catalog/default/dwbb259ca6/productimages/singlepackshot/",LEFT(A1268,FIND("-",A1268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68" s="5" t="str">
        <f ca="1">IFERROR(ROWSDUMMYFUNCTION(IF(A1268="","",CONCATENATE("https://us.pandora.net/on/demandware.static/-/Sites-pandora-master-catalog/default/dwbb259ca6/productimages/singlepackshot/",LEFT(A1268,FIND("-",A1268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69" spans="1:4" x14ac:dyDescent="0.25">
      <c r="A1269" s="3" t="s">
        <v>1271</v>
      </c>
      <c r="B1269" s="4">
        <v>99</v>
      </c>
      <c r="C1269" s="3" t="str">
        <f ca="1">IFERROR(ROWSDUMMYFUNCTION(IF(A1269="","",IFERROR(IMAGE(CONCATENATE("https://us.pandora.net/on/demandware.static/-/Sites-pandora-master-catalog/default/dwbb259ca6/productimages/singlepackshot/",LEFT(A1269,FIND("-",A1269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69" s="5" t="str">
        <f ca="1">IFERROR(ROWSDUMMYFUNCTION(IF(A1269="","",CONCATENATE("https://us.pandora.net/on/demandware.static/-/Sites-pandora-master-catalog/default/dwbb259ca6/productimages/singlepackshot/",LEFT(A1269,FIND("-",A1269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70" spans="1:4" x14ac:dyDescent="0.25">
      <c r="A1270" s="3" t="s">
        <v>1272</v>
      </c>
      <c r="B1270" s="4">
        <v>99</v>
      </c>
      <c r="C1270" s="3" t="str">
        <f ca="1">IFERROR(ROWSDUMMYFUNCTION(IF(A1270="","",IFERROR(IMAGE(CONCATENATE("https://us.pandora.net/on/demandware.static/-/Sites-pandora-master-catalog/default/dwbb259ca6/productimages/singlepackshot/",LEFT(A1270,FIND("-",A1270&amp;"-")-1),"_RGB.png")),""))),"{""url"":""https://us.pandora.net/on/demandware.static/-/Sites-pandora-master-catalog/default/dwbb259ca6/productimages/singlepackshot/193147C01_RGB.png"",""mode"":1}")</f>
        <v>{"url":"https://us.pandora.net/on/demandware.static/-/Sites-pandora-master-catalog/default/dwbb259ca6/productimages/singlepackshot/193147C01_RGB.png","mode":1}</v>
      </c>
      <c r="D1270" s="5" t="str">
        <f ca="1">IFERROR(ROWSDUMMYFUNCTION(IF(A1270="","",CONCATENATE("https://us.pandora.net/on/demandware.static/-/Sites-pandora-master-catalog/default/dwbb259ca6/productimages/singlepackshot/",LEFT(A1270,FIND("-",A1270&amp;"-")-1),"_RGB.png"))),"https://us.pandora.net/on/demandware.static/-/Sites-pandora-master-catalog/default/dwbb259ca6/productimages/singlepackshot/193147C01_RGB.png")</f>
        <v>https://us.pandora.net/on/demandware.static/-/Sites-pandora-master-catalog/default/dwbb259ca6/productimages/singlepackshot/193147C01_RGB.png</v>
      </c>
    </row>
    <row r="1271" spans="1:4" x14ac:dyDescent="0.25">
      <c r="A1271" s="3" t="s">
        <v>1273</v>
      </c>
      <c r="B1271" s="4">
        <v>89</v>
      </c>
      <c r="C1271" s="3" t="str">
        <f ca="1">IFERROR(ROWSDUMMYFUNCTION(IF(A1271="","",IFERROR(IMAGE(CONCATENATE("https://us.pandora.net/on/demandware.static/-/Sites-pandora-master-catalog/default/dwbb259ca6/productimages/singlepackshot/",LEFT(A1271,FIND("-",A1271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1" s="5" t="str">
        <f ca="1">IFERROR(ROWSDUMMYFUNCTION(IF(A1271="","",CONCATENATE("https://us.pandora.net/on/demandware.static/-/Sites-pandora-master-catalog/default/dwbb259ca6/productimages/singlepackshot/",LEFT(A1271,FIND("-",A1271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2" spans="1:4" x14ac:dyDescent="0.25">
      <c r="A1272" s="3" t="s">
        <v>1274</v>
      </c>
      <c r="B1272" s="4">
        <v>89</v>
      </c>
      <c r="C1272" s="3" t="str">
        <f ca="1">IFERROR(ROWSDUMMYFUNCTION(IF(A1272="","",IFERROR(IMAGE(CONCATENATE("https://us.pandora.net/on/demandware.static/-/Sites-pandora-master-catalog/default/dwbb259ca6/productimages/singlepackshot/",LEFT(A1272,FIND("-",A1272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2" s="5" t="str">
        <f ca="1">IFERROR(ROWSDUMMYFUNCTION(IF(A1272="","",CONCATENATE("https://us.pandora.net/on/demandware.static/-/Sites-pandora-master-catalog/default/dwbb259ca6/productimages/singlepackshot/",LEFT(A1272,FIND("-",A1272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3" spans="1:4" x14ac:dyDescent="0.25">
      <c r="A1273" s="3" t="s">
        <v>1275</v>
      </c>
      <c r="B1273" s="4">
        <v>89</v>
      </c>
      <c r="C1273" s="3" t="str">
        <f ca="1">IFERROR(ROWSDUMMYFUNCTION(IF(A1273="","",IFERROR(IMAGE(CONCATENATE("https://us.pandora.net/on/demandware.static/-/Sites-pandora-master-catalog/default/dwbb259ca6/productimages/singlepackshot/",LEFT(A1273,FIND("-",A1273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3" s="5" t="str">
        <f ca="1">IFERROR(ROWSDUMMYFUNCTION(IF(A1273="","",CONCATENATE("https://us.pandora.net/on/demandware.static/-/Sites-pandora-master-catalog/default/dwbb259ca6/productimages/singlepackshot/",LEFT(A1273,FIND("-",A1273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4" spans="1:4" x14ac:dyDescent="0.25">
      <c r="A1274" s="3" t="s">
        <v>1276</v>
      </c>
      <c r="B1274" s="4">
        <v>89</v>
      </c>
      <c r="C1274" s="3" t="str">
        <f ca="1">IFERROR(ROWSDUMMYFUNCTION(IF(A1274="","",IFERROR(IMAGE(CONCATENATE("https://us.pandora.net/on/demandware.static/-/Sites-pandora-master-catalog/default/dwbb259ca6/productimages/singlepackshot/",LEFT(A1274,FIND("-",A1274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4" s="5" t="str">
        <f ca="1">IFERROR(ROWSDUMMYFUNCTION(IF(A1274="","",CONCATENATE("https://us.pandora.net/on/demandware.static/-/Sites-pandora-master-catalog/default/dwbb259ca6/productimages/singlepackshot/",LEFT(A1274,FIND("-",A1274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5" spans="1:4" x14ac:dyDescent="0.25">
      <c r="A1275" s="3" t="s">
        <v>1277</v>
      </c>
      <c r="B1275" s="4">
        <v>89</v>
      </c>
      <c r="C1275" s="3" t="str">
        <f ca="1">IFERROR(ROWSDUMMYFUNCTION(IF(A1275="","",IFERROR(IMAGE(CONCATENATE("https://us.pandora.net/on/demandware.static/-/Sites-pandora-master-catalog/default/dwbb259ca6/productimages/singlepackshot/",LEFT(A1275,FIND("-",A1275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5" s="5" t="str">
        <f ca="1">IFERROR(ROWSDUMMYFUNCTION(IF(A1275="","",CONCATENATE("https://us.pandora.net/on/demandware.static/-/Sites-pandora-master-catalog/default/dwbb259ca6/productimages/singlepackshot/",LEFT(A1275,FIND("-",A1275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6" spans="1:4" x14ac:dyDescent="0.25">
      <c r="A1276" s="3" t="s">
        <v>1278</v>
      </c>
      <c r="B1276" s="4">
        <v>89</v>
      </c>
      <c r="C1276" s="3" t="str">
        <f ca="1">IFERROR(ROWSDUMMYFUNCTION(IF(A1276="","",IFERROR(IMAGE(CONCATENATE("https://us.pandora.net/on/demandware.static/-/Sites-pandora-master-catalog/default/dwbb259ca6/productimages/singlepackshot/",LEFT(A1276,FIND("-",A1276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6" s="5" t="str">
        <f ca="1">IFERROR(ROWSDUMMYFUNCTION(IF(A1276="","",CONCATENATE("https://us.pandora.net/on/demandware.static/-/Sites-pandora-master-catalog/default/dwbb259ca6/productimages/singlepackshot/",LEFT(A1276,FIND("-",A1276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7" spans="1:4" x14ac:dyDescent="0.25">
      <c r="A1277" s="3" t="s">
        <v>1279</v>
      </c>
      <c r="B1277" s="4">
        <v>89</v>
      </c>
      <c r="C1277" s="3" t="str">
        <f ca="1">IFERROR(ROWSDUMMYFUNCTION(IF(A1277="","",IFERROR(IMAGE(CONCATENATE("https://us.pandora.net/on/demandware.static/-/Sites-pandora-master-catalog/default/dwbb259ca6/productimages/singlepackshot/",LEFT(A1277,FIND("-",A1277&amp;"-")-1),"_RGB.png")),""))),"{""url"":""https://us.pandora.net/on/demandware.static/-/Sites-pandora-master-catalog/default/dwbb259ca6/productimages/singlepackshot/193149C01_RGB.png"",""mode"":1}")</f>
        <v>{"url":"https://us.pandora.net/on/demandware.static/-/Sites-pandora-master-catalog/default/dwbb259ca6/productimages/singlepackshot/193149C01_RGB.png","mode":1}</v>
      </c>
      <c r="D1277" s="5" t="str">
        <f ca="1">IFERROR(ROWSDUMMYFUNCTION(IF(A1277="","",CONCATENATE("https://us.pandora.net/on/demandware.static/-/Sites-pandora-master-catalog/default/dwbb259ca6/productimages/singlepackshot/",LEFT(A1277,FIND("-",A1277&amp;"-")-1),"_RGB.png"))),"https://us.pandora.net/on/demandware.static/-/Sites-pandora-master-catalog/default/dwbb259ca6/productimages/singlepackshot/193149C01_RGB.png")</f>
        <v>https://us.pandora.net/on/demandware.static/-/Sites-pandora-master-catalog/default/dwbb259ca6/productimages/singlepackshot/193149C01_RGB.png</v>
      </c>
    </row>
    <row r="1278" spans="1:4" x14ac:dyDescent="0.25">
      <c r="A1278" s="3" t="s">
        <v>1280</v>
      </c>
      <c r="B1278" s="4">
        <v>79</v>
      </c>
      <c r="C1278" s="3" t="str">
        <f ca="1">IFERROR(ROWSDUMMYFUNCTION(IF(A1278="","",IFERROR(IMAGE(CONCATENATE("https://us.pandora.net/on/demandware.static/-/Sites-pandora-master-catalog/default/dwbb259ca6/productimages/singlepackshot/",LEFT(A1278,FIND("-",A1278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78" s="5" t="str">
        <f ca="1">IFERROR(ROWSDUMMYFUNCTION(IF(A1278="","",CONCATENATE("https://us.pandora.net/on/demandware.static/-/Sites-pandora-master-catalog/default/dwbb259ca6/productimages/singlepackshot/",LEFT(A1278,FIND("-",A1278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79" spans="1:4" x14ac:dyDescent="0.25">
      <c r="A1279" s="3" t="s">
        <v>1281</v>
      </c>
      <c r="B1279" s="4">
        <v>79</v>
      </c>
      <c r="C1279" s="3" t="str">
        <f ca="1">IFERROR(ROWSDUMMYFUNCTION(IF(A1279="","",IFERROR(IMAGE(CONCATENATE("https://us.pandora.net/on/demandware.static/-/Sites-pandora-master-catalog/default/dwbb259ca6/productimages/singlepackshot/",LEFT(A1279,FIND("-",A1279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79" s="5" t="str">
        <f ca="1">IFERROR(ROWSDUMMYFUNCTION(IF(A1279="","",CONCATENATE("https://us.pandora.net/on/demandware.static/-/Sites-pandora-master-catalog/default/dwbb259ca6/productimages/singlepackshot/",LEFT(A1279,FIND("-",A1279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80" spans="1:4" x14ac:dyDescent="0.25">
      <c r="A1280" s="3" t="s">
        <v>1282</v>
      </c>
      <c r="B1280" s="4">
        <v>79</v>
      </c>
      <c r="C1280" s="3" t="str">
        <f ca="1">IFERROR(ROWSDUMMYFUNCTION(IF(A1280="","",IFERROR(IMAGE(CONCATENATE("https://us.pandora.net/on/demandware.static/-/Sites-pandora-master-catalog/default/dwbb259ca6/productimages/singlepackshot/",LEFT(A1280,FIND("-",A1280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80" s="5" t="str">
        <f ca="1">IFERROR(ROWSDUMMYFUNCTION(IF(A1280="","",CONCATENATE("https://us.pandora.net/on/demandware.static/-/Sites-pandora-master-catalog/default/dwbb259ca6/productimages/singlepackshot/",LEFT(A1280,FIND("-",A1280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81" spans="1:4" x14ac:dyDescent="0.25">
      <c r="A1281" s="3" t="s">
        <v>1283</v>
      </c>
      <c r="B1281" s="4">
        <v>79</v>
      </c>
      <c r="C1281" s="3" t="str">
        <f ca="1">IFERROR(ROWSDUMMYFUNCTION(IF(A1281="","",IFERROR(IMAGE(CONCATENATE("https://us.pandora.net/on/demandware.static/-/Sites-pandora-master-catalog/default/dwbb259ca6/productimages/singlepackshot/",LEFT(A1281,FIND("-",A1281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81" s="5" t="str">
        <f ca="1">IFERROR(ROWSDUMMYFUNCTION(IF(A1281="","",CONCATENATE("https://us.pandora.net/on/demandware.static/-/Sites-pandora-master-catalog/default/dwbb259ca6/productimages/singlepackshot/",LEFT(A1281,FIND("-",A1281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82" spans="1:4" x14ac:dyDescent="0.25">
      <c r="A1282" s="3" t="s">
        <v>1284</v>
      </c>
      <c r="B1282" s="4">
        <v>79</v>
      </c>
      <c r="C1282" s="3" t="str">
        <f ca="1">IFERROR(ROWSDUMMYFUNCTION(IF(A1282="","",IFERROR(IMAGE(CONCATENATE("https://us.pandora.net/on/demandware.static/-/Sites-pandora-master-catalog/default/dwbb259ca6/productimages/singlepackshot/",LEFT(A1282,FIND("-",A1282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82" s="5" t="str">
        <f ca="1">IFERROR(ROWSDUMMYFUNCTION(IF(A1282="","",CONCATENATE("https://us.pandora.net/on/demandware.static/-/Sites-pandora-master-catalog/default/dwbb259ca6/productimages/singlepackshot/",LEFT(A1282,FIND("-",A1282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83" spans="1:4" x14ac:dyDescent="0.25">
      <c r="A1283" s="3" t="s">
        <v>1285</v>
      </c>
      <c r="B1283" s="4">
        <v>79</v>
      </c>
      <c r="C1283" s="3" t="str">
        <f ca="1">IFERROR(ROWSDUMMYFUNCTION(IF(A1283="","",IFERROR(IMAGE(CONCATENATE("https://us.pandora.net/on/demandware.static/-/Sites-pandora-master-catalog/default/dwbb259ca6/productimages/singlepackshot/",LEFT(A1283,FIND("-",A1283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83" s="5" t="str">
        <f ca="1">IFERROR(ROWSDUMMYFUNCTION(IF(A1283="","",CONCATENATE("https://us.pandora.net/on/demandware.static/-/Sites-pandora-master-catalog/default/dwbb259ca6/productimages/singlepackshot/",LEFT(A1283,FIND("-",A1283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84" spans="1:4" x14ac:dyDescent="0.25">
      <c r="A1284" s="3" t="s">
        <v>1286</v>
      </c>
      <c r="B1284" s="4">
        <v>79</v>
      </c>
      <c r="C1284" s="3" t="str">
        <f ca="1">IFERROR(ROWSDUMMYFUNCTION(IF(A1284="","",IFERROR(IMAGE(CONCATENATE("https://us.pandora.net/on/demandware.static/-/Sites-pandora-master-catalog/default/dwbb259ca6/productimages/singlepackshot/",LEFT(A1284,FIND("-",A1284&amp;"-")-1),"_RGB.png")),""))),"{""url"":""https://us.pandora.net/on/demandware.static/-/Sites-pandora-master-catalog/default/dwbb259ca6/productimages/singlepackshot/193156C01_RGB.png"",""mode"":1}")</f>
        <v>{"url":"https://us.pandora.net/on/demandware.static/-/Sites-pandora-master-catalog/default/dwbb259ca6/productimages/singlepackshot/193156C01_RGB.png","mode":1}</v>
      </c>
      <c r="D1284" s="5" t="str">
        <f ca="1">IFERROR(ROWSDUMMYFUNCTION(IF(A1284="","",CONCATENATE("https://us.pandora.net/on/demandware.static/-/Sites-pandora-master-catalog/default/dwbb259ca6/productimages/singlepackshot/",LEFT(A1284,FIND("-",A1284&amp;"-")-1),"_RGB.png"))),"https://us.pandora.net/on/demandware.static/-/Sites-pandora-master-catalog/default/dwbb259ca6/productimages/singlepackshot/193156C01_RGB.png")</f>
        <v>https://us.pandora.net/on/demandware.static/-/Sites-pandora-master-catalog/default/dwbb259ca6/productimages/singlepackshot/193156C01_RGB.png</v>
      </c>
    </row>
    <row r="1285" spans="1:4" x14ac:dyDescent="0.25">
      <c r="A1285" s="3" t="s">
        <v>1287</v>
      </c>
      <c r="B1285" s="4">
        <v>79</v>
      </c>
      <c r="C1285" s="3" t="str">
        <f ca="1">IFERROR(ROWSDUMMYFUNCTION(IF(A1285="","",IFERROR(IMAGE(CONCATENATE("https://us.pandora.net/on/demandware.static/-/Sites-pandora-master-catalog/default/dwbb259ca6/productimages/singlepackshot/",LEFT(A1285,FIND("-",A1285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85" s="5" t="str">
        <f ca="1">IFERROR(ROWSDUMMYFUNCTION(IF(A1285="","",CONCATENATE("https://us.pandora.net/on/demandware.static/-/Sites-pandora-master-catalog/default/dwbb259ca6/productimages/singlepackshot/",LEFT(A1285,FIND("-",A1285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86" spans="1:4" x14ac:dyDescent="0.25">
      <c r="A1286" s="3" t="s">
        <v>1288</v>
      </c>
      <c r="B1286" s="4">
        <v>79</v>
      </c>
      <c r="C1286" s="3" t="str">
        <f ca="1">IFERROR(ROWSDUMMYFUNCTION(IF(A1286="","",IFERROR(IMAGE(CONCATENATE("https://us.pandora.net/on/demandware.static/-/Sites-pandora-master-catalog/default/dwbb259ca6/productimages/singlepackshot/",LEFT(A1286,FIND("-",A1286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86" s="5" t="str">
        <f ca="1">IFERROR(ROWSDUMMYFUNCTION(IF(A1286="","",CONCATENATE("https://us.pandora.net/on/demandware.static/-/Sites-pandora-master-catalog/default/dwbb259ca6/productimages/singlepackshot/",LEFT(A1286,FIND("-",A1286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87" spans="1:4" x14ac:dyDescent="0.25">
      <c r="A1287" s="3" t="s">
        <v>1289</v>
      </c>
      <c r="B1287" s="4">
        <v>79</v>
      </c>
      <c r="C1287" s="3" t="str">
        <f ca="1">IFERROR(ROWSDUMMYFUNCTION(IF(A1287="","",IFERROR(IMAGE(CONCATENATE("https://us.pandora.net/on/demandware.static/-/Sites-pandora-master-catalog/default/dwbb259ca6/productimages/singlepackshot/",LEFT(A1287,FIND("-",A1287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87" s="5" t="str">
        <f ca="1">IFERROR(ROWSDUMMYFUNCTION(IF(A1287="","",CONCATENATE("https://us.pandora.net/on/demandware.static/-/Sites-pandora-master-catalog/default/dwbb259ca6/productimages/singlepackshot/",LEFT(A1287,FIND("-",A1287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88" spans="1:4" x14ac:dyDescent="0.25">
      <c r="A1288" s="3" t="s">
        <v>1290</v>
      </c>
      <c r="B1288" s="4">
        <v>79</v>
      </c>
      <c r="C1288" s="3" t="str">
        <f ca="1">IFERROR(ROWSDUMMYFUNCTION(IF(A1288="","",IFERROR(IMAGE(CONCATENATE("https://us.pandora.net/on/demandware.static/-/Sites-pandora-master-catalog/default/dwbb259ca6/productimages/singlepackshot/",LEFT(A1288,FIND("-",A1288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88" s="5" t="str">
        <f ca="1">IFERROR(ROWSDUMMYFUNCTION(IF(A1288="","",CONCATENATE("https://us.pandora.net/on/demandware.static/-/Sites-pandora-master-catalog/default/dwbb259ca6/productimages/singlepackshot/",LEFT(A1288,FIND("-",A1288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89" spans="1:4" x14ac:dyDescent="0.25">
      <c r="A1289" s="3" t="s">
        <v>1291</v>
      </c>
      <c r="B1289" s="4">
        <v>79</v>
      </c>
      <c r="C1289" s="3" t="str">
        <f ca="1">IFERROR(ROWSDUMMYFUNCTION(IF(A1289="","",IFERROR(IMAGE(CONCATENATE("https://us.pandora.net/on/demandware.static/-/Sites-pandora-master-catalog/default/dwbb259ca6/productimages/singlepackshot/",LEFT(A1289,FIND("-",A1289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89" s="5" t="str">
        <f ca="1">IFERROR(ROWSDUMMYFUNCTION(IF(A1289="","",CONCATENATE("https://us.pandora.net/on/demandware.static/-/Sites-pandora-master-catalog/default/dwbb259ca6/productimages/singlepackshot/",LEFT(A1289,FIND("-",A1289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90" spans="1:4" x14ac:dyDescent="0.25">
      <c r="A1290" s="3" t="s">
        <v>1292</v>
      </c>
      <c r="B1290" s="4">
        <v>79</v>
      </c>
      <c r="C1290" s="3" t="str">
        <f ca="1">IFERROR(ROWSDUMMYFUNCTION(IF(A1290="","",IFERROR(IMAGE(CONCATENATE("https://us.pandora.net/on/demandware.static/-/Sites-pandora-master-catalog/default/dwbb259ca6/productimages/singlepackshot/",LEFT(A1290,FIND("-",A1290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90" s="5" t="str">
        <f ca="1">IFERROR(ROWSDUMMYFUNCTION(IF(A1290="","",CONCATENATE("https://us.pandora.net/on/demandware.static/-/Sites-pandora-master-catalog/default/dwbb259ca6/productimages/singlepackshot/",LEFT(A1290,FIND("-",A1290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91" spans="1:4" x14ac:dyDescent="0.25">
      <c r="A1291" s="3" t="s">
        <v>1293</v>
      </c>
      <c r="B1291" s="4">
        <v>79</v>
      </c>
      <c r="C1291" s="3" t="str">
        <f ca="1">IFERROR(ROWSDUMMYFUNCTION(IF(A1291="","",IFERROR(IMAGE(CONCATENATE("https://us.pandora.net/on/demandware.static/-/Sites-pandora-master-catalog/default/dwbb259ca6/productimages/singlepackshot/",LEFT(A1291,FIND("-",A1291&amp;"-")-1),"_RGB.png")),""))),"{""url"":""https://us.pandora.net/on/demandware.static/-/Sites-pandora-master-catalog/default/dwbb259ca6/productimages/singlepackshot/193158C01_RGB.png"",""mode"":1}")</f>
        <v>{"url":"https://us.pandora.net/on/demandware.static/-/Sites-pandora-master-catalog/default/dwbb259ca6/productimages/singlepackshot/193158C01_RGB.png","mode":1}</v>
      </c>
      <c r="D1291" s="5" t="str">
        <f ca="1">IFERROR(ROWSDUMMYFUNCTION(IF(A1291="","",CONCATENATE("https://us.pandora.net/on/demandware.static/-/Sites-pandora-master-catalog/default/dwbb259ca6/productimages/singlepackshot/",LEFT(A1291,FIND("-",A1291&amp;"-")-1),"_RGB.png"))),"https://us.pandora.net/on/demandware.static/-/Sites-pandora-master-catalog/default/dwbb259ca6/productimages/singlepackshot/193158C01_RGB.png")</f>
        <v>https://us.pandora.net/on/demandware.static/-/Sites-pandora-master-catalog/default/dwbb259ca6/productimages/singlepackshot/193158C01_RGB.png</v>
      </c>
    </row>
    <row r="1292" spans="1:4" x14ac:dyDescent="0.25">
      <c r="A1292" s="3" t="s">
        <v>1294</v>
      </c>
      <c r="B1292" s="4">
        <v>49</v>
      </c>
      <c r="C1292" s="3" t="str">
        <f ca="1">IFERROR(ROWSDUMMYFUNCTION(IF(A1292="","",IFERROR(IMAGE(CONCATENATE("https://us.pandora.net/on/demandware.static/-/Sites-pandora-master-catalog/default/dwbb259ca6/productimages/singlepackshot/",LEFT(A1292,FIND("-",A1292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2" s="5" t="str">
        <f ca="1">IFERROR(ROWSDUMMYFUNCTION(IF(A1292="","",CONCATENATE("https://us.pandora.net/on/demandware.static/-/Sites-pandora-master-catalog/default/dwbb259ca6/productimages/singlepackshot/",LEFT(A1292,FIND("-",A1292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3" spans="1:4" x14ac:dyDescent="0.25">
      <c r="A1293" s="3" t="s">
        <v>1295</v>
      </c>
      <c r="B1293" s="4">
        <v>49</v>
      </c>
      <c r="C1293" s="3" t="str">
        <f ca="1">IFERROR(ROWSDUMMYFUNCTION(IF(A1293="","",IFERROR(IMAGE(CONCATENATE("https://us.pandora.net/on/demandware.static/-/Sites-pandora-master-catalog/default/dwbb259ca6/productimages/singlepackshot/",LEFT(A1293,FIND("-",A1293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3" s="5" t="str">
        <f ca="1">IFERROR(ROWSDUMMYFUNCTION(IF(A1293="","",CONCATENATE("https://us.pandora.net/on/demandware.static/-/Sites-pandora-master-catalog/default/dwbb259ca6/productimages/singlepackshot/",LEFT(A1293,FIND("-",A1293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4" spans="1:4" x14ac:dyDescent="0.25">
      <c r="A1294" s="3" t="s">
        <v>1296</v>
      </c>
      <c r="B1294" s="4">
        <v>49</v>
      </c>
      <c r="C1294" s="3" t="str">
        <f ca="1">IFERROR(ROWSDUMMYFUNCTION(IF(A1294="","",IFERROR(IMAGE(CONCATENATE("https://us.pandora.net/on/demandware.static/-/Sites-pandora-master-catalog/default/dwbb259ca6/productimages/singlepackshot/",LEFT(A1294,FIND("-",A1294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4" s="5" t="str">
        <f ca="1">IFERROR(ROWSDUMMYFUNCTION(IF(A1294="","",CONCATENATE("https://us.pandora.net/on/demandware.static/-/Sites-pandora-master-catalog/default/dwbb259ca6/productimages/singlepackshot/",LEFT(A1294,FIND("-",A1294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5" spans="1:4" x14ac:dyDescent="0.25">
      <c r="A1295" s="3" t="s">
        <v>1297</v>
      </c>
      <c r="B1295" s="4">
        <v>49</v>
      </c>
      <c r="C1295" s="3" t="str">
        <f ca="1">IFERROR(ROWSDUMMYFUNCTION(IF(A1295="","",IFERROR(IMAGE(CONCATENATE("https://us.pandora.net/on/demandware.static/-/Sites-pandora-master-catalog/default/dwbb259ca6/productimages/singlepackshot/",LEFT(A1295,FIND("-",A1295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5" s="5" t="str">
        <f ca="1">IFERROR(ROWSDUMMYFUNCTION(IF(A1295="","",CONCATENATE("https://us.pandora.net/on/demandware.static/-/Sites-pandora-master-catalog/default/dwbb259ca6/productimages/singlepackshot/",LEFT(A1295,FIND("-",A1295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6" spans="1:4" x14ac:dyDescent="0.25">
      <c r="A1296" s="3" t="s">
        <v>1298</v>
      </c>
      <c r="B1296" s="4">
        <v>49</v>
      </c>
      <c r="C1296" s="3" t="str">
        <f ca="1">IFERROR(ROWSDUMMYFUNCTION(IF(A1296="","",IFERROR(IMAGE(CONCATENATE("https://us.pandora.net/on/demandware.static/-/Sites-pandora-master-catalog/default/dwbb259ca6/productimages/singlepackshot/",LEFT(A1296,FIND("-",A1296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6" s="5" t="str">
        <f ca="1">IFERROR(ROWSDUMMYFUNCTION(IF(A1296="","",CONCATENATE("https://us.pandora.net/on/demandware.static/-/Sites-pandora-master-catalog/default/dwbb259ca6/productimages/singlepackshot/",LEFT(A1296,FIND("-",A1296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7" spans="1:4" x14ac:dyDescent="0.25">
      <c r="A1297" s="3" t="s">
        <v>1299</v>
      </c>
      <c r="B1297" s="4">
        <v>49</v>
      </c>
      <c r="C1297" s="3" t="str">
        <f ca="1">IFERROR(ROWSDUMMYFUNCTION(IF(A1297="","",IFERROR(IMAGE(CONCATENATE("https://us.pandora.net/on/demandware.static/-/Sites-pandora-master-catalog/default/dwbb259ca6/productimages/singlepackshot/",LEFT(A1297,FIND("-",A1297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7" s="5" t="str">
        <f ca="1">IFERROR(ROWSDUMMYFUNCTION(IF(A1297="","",CONCATENATE("https://us.pandora.net/on/demandware.static/-/Sites-pandora-master-catalog/default/dwbb259ca6/productimages/singlepackshot/",LEFT(A1297,FIND("-",A1297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8" spans="1:4" x14ac:dyDescent="0.25">
      <c r="A1298" s="3" t="s">
        <v>1300</v>
      </c>
      <c r="B1298" s="4">
        <v>49</v>
      </c>
      <c r="C1298" s="3" t="str">
        <f ca="1">IFERROR(ROWSDUMMYFUNCTION(IF(A1298="","",IFERROR(IMAGE(CONCATENATE("https://us.pandora.net/on/demandware.static/-/Sites-pandora-master-catalog/default/dwbb259ca6/productimages/singlepackshot/",LEFT(A1298,FIND("-",A1298&amp;"-")-1),"_RGB.png")),""))),"{""url"":""https://us.pandora.net/on/demandware.static/-/Sites-pandora-master-catalog/default/dwbb259ca6/productimages/singlepackshot/193215C01_RGB.png"",""mode"":1}")</f>
        <v>{"url":"https://us.pandora.net/on/demandware.static/-/Sites-pandora-master-catalog/default/dwbb259ca6/productimages/singlepackshot/193215C01_RGB.png","mode":1}</v>
      </c>
      <c r="D1298" s="5" t="str">
        <f ca="1">IFERROR(ROWSDUMMYFUNCTION(IF(A1298="","",CONCATENATE("https://us.pandora.net/on/demandware.static/-/Sites-pandora-master-catalog/default/dwbb259ca6/productimages/singlepackshot/",LEFT(A1298,FIND("-",A1298&amp;"-")-1),"_RGB.png"))),"https://us.pandora.net/on/demandware.static/-/Sites-pandora-master-catalog/default/dwbb259ca6/productimages/singlepackshot/193215C01_RGB.png")</f>
        <v>https://us.pandora.net/on/demandware.static/-/Sites-pandora-master-catalog/default/dwbb259ca6/productimages/singlepackshot/193215C01_RGB.png</v>
      </c>
    </row>
    <row r="1299" spans="1:4" x14ac:dyDescent="0.25">
      <c r="A1299" s="3" t="s">
        <v>1301</v>
      </c>
      <c r="B1299" s="4">
        <v>99</v>
      </c>
      <c r="C1299" s="3" t="str">
        <f ca="1">IFERROR(ROWSDUMMYFUNCTION(IF(A1299="","",IFERROR(IMAGE(CONCATENATE("https://us.pandora.net/on/demandware.static/-/Sites-pandora-master-catalog/default/dwbb259ca6/productimages/singlepackshot/",LEFT(A1299,FIND("-",A1299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299" s="5" t="str">
        <f ca="1">IFERROR(ROWSDUMMYFUNCTION(IF(A1299="","",CONCATENATE("https://us.pandora.net/on/demandware.static/-/Sites-pandora-master-catalog/default/dwbb259ca6/productimages/singlepackshot/",LEFT(A1299,FIND("-",A1299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0" spans="1:4" x14ac:dyDescent="0.25">
      <c r="A1300" s="3" t="s">
        <v>1302</v>
      </c>
      <c r="B1300" s="4">
        <v>99</v>
      </c>
      <c r="C1300" s="3" t="str">
        <f ca="1">IFERROR(ROWSDUMMYFUNCTION(IF(A1300="","",IFERROR(IMAGE(CONCATENATE("https://us.pandora.net/on/demandware.static/-/Sites-pandora-master-catalog/default/dwbb259ca6/productimages/singlepackshot/",LEFT(A1300,FIND("-",A1300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300" s="5" t="str">
        <f ca="1">IFERROR(ROWSDUMMYFUNCTION(IF(A1300="","",CONCATENATE("https://us.pandora.net/on/demandware.static/-/Sites-pandora-master-catalog/default/dwbb259ca6/productimages/singlepackshot/",LEFT(A1300,FIND("-",A1300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1" spans="1:4" x14ac:dyDescent="0.25">
      <c r="A1301" s="3" t="s">
        <v>1303</v>
      </c>
      <c r="B1301" s="4">
        <v>99</v>
      </c>
      <c r="C1301" s="3" t="str">
        <f ca="1">IFERROR(ROWSDUMMYFUNCTION(IF(A1301="","",IFERROR(IMAGE(CONCATENATE("https://us.pandora.net/on/demandware.static/-/Sites-pandora-master-catalog/default/dwbb259ca6/productimages/singlepackshot/",LEFT(A1301,FIND("-",A1301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301" s="5" t="str">
        <f ca="1">IFERROR(ROWSDUMMYFUNCTION(IF(A1301="","",CONCATENATE("https://us.pandora.net/on/demandware.static/-/Sites-pandora-master-catalog/default/dwbb259ca6/productimages/singlepackshot/",LEFT(A1301,FIND("-",A1301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2" spans="1:4" x14ac:dyDescent="0.25">
      <c r="A1302" s="3" t="s">
        <v>1304</v>
      </c>
      <c r="B1302" s="4">
        <v>99</v>
      </c>
      <c r="C1302" s="3" t="str">
        <f ca="1">IFERROR(ROWSDUMMYFUNCTION(IF(A1302="","",IFERROR(IMAGE(CONCATENATE("https://us.pandora.net/on/demandware.static/-/Sites-pandora-master-catalog/default/dwbb259ca6/productimages/singlepackshot/",LEFT(A1302,FIND("-",A1302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302" s="5" t="str">
        <f ca="1">IFERROR(ROWSDUMMYFUNCTION(IF(A1302="","",CONCATENATE("https://us.pandora.net/on/demandware.static/-/Sites-pandora-master-catalog/default/dwbb259ca6/productimages/singlepackshot/",LEFT(A1302,FIND("-",A1302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3" spans="1:4" x14ac:dyDescent="0.25">
      <c r="A1303" s="3" t="s">
        <v>1305</v>
      </c>
      <c r="B1303" s="4">
        <v>99</v>
      </c>
      <c r="C1303" s="3" t="str">
        <f ca="1">IFERROR(ROWSDUMMYFUNCTION(IF(A1303="","",IFERROR(IMAGE(CONCATENATE("https://us.pandora.net/on/demandware.static/-/Sites-pandora-master-catalog/default/dwbb259ca6/productimages/singlepackshot/",LEFT(A1303,FIND("-",A1303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303" s="5" t="str">
        <f ca="1">IFERROR(ROWSDUMMYFUNCTION(IF(A1303="","",CONCATENATE("https://us.pandora.net/on/demandware.static/-/Sites-pandora-master-catalog/default/dwbb259ca6/productimages/singlepackshot/",LEFT(A1303,FIND("-",A1303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4" spans="1:4" x14ac:dyDescent="0.25">
      <c r="A1304" s="3" t="s">
        <v>1306</v>
      </c>
      <c r="B1304" s="4">
        <v>99</v>
      </c>
      <c r="C1304" s="3" t="str">
        <f ca="1">IFERROR(ROWSDUMMYFUNCTION(IF(A1304="","",IFERROR(IMAGE(CONCATENATE("https://us.pandora.net/on/demandware.static/-/Sites-pandora-master-catalog/default/dwbb259ca6/productimages/singlepackshot/",LEFT(A1304,FIND("-",A1304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304" s="5" t="str">
        <f ca="1">IFERROR(ROWSDUMMYFUNCTION(IF(A1304="","",CONCATENATE("https://us.pandora.net/on/demandware.static/-/Sites-pandora-master-catalog/default/dwbb259ca6/productimages/singlepackshot/",LEFT(A1304,FIND("-",A1304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5" spans="1:4" x14ac:dyDescent="0.25">
      <c r="A1305" s="3" t="s">
        <v>1307</v>
      </c>
      <c r="B1305" s="4">
        <v>99</v>
      </c>
      <c r="C1305" s="3" t="str">
        <f ca="1">IFERROR(ROWSDUMMYFUNCTION(IF(A1305="","",IFERROR(IMAGE(CONCATENATE("https://us.pandora.net/on/demandware.static/-/Sites-pandora-master-catalog/default/dwbb259ca6/productimages/singlepackshot/",LEFT(A1305,FIND("-",A1305&amp;"-")-1),"_RGB.png")),""))),"{""url"":""https://us.pandora.net/on/demandware.static/-/Sites-pandora-master-catalog/default/dwbb259ca6/productimages/singlepackshot/193264C00_RGB.png"",""mode"":1}")</f>
        <v>{"url":"https://us.pandora.net/on/demandware.static/-/Sites-pandora-master-catalog/default/dwbb259ca6/productimages/singlepackshot/193264C00_RGB.png","mode":1}</v>
      </c>
      <c r="D1305" s="5" t="str">
        <f ca="1">IFERROR(ROWSDUMMYFUNCTION(IF(A1305="","",CONCATENATE("https://us.pandora.net/on/demandware.static/-/Sites-pandora-master-catalog/default/dwbb259ca6/productimages/singlepackshot/",LEFT(A1305,FIND("-",A1305&amp;"-")-1),"_RGB.png"))),"https://us.pandora.net/on/demandware.static/-/Sites-pandora-master-catalog/default/dwbb259ca6/productimages/singlepackshot/193264C00_RGB.png")</f>
        <v>https://us.pandora.net/on/demandware.static/-/Sites-pandora-master-catalog/default/dwbb259ca6/productimages/singlepackshot/193264C00_RGB.png</v>
      </c>
    </row>
    <row r="1306" spans="1:4" x14ac:dyDescent="0.25">
      <c r="A1306" s="3" t="s">
        <v>1308</v>
      </c>
      <c r="B1306" s="4">
        <v>79</v>
      </c>
      <c r="C1306" s="3" t="str">
        <f ca="1">IFERROR(ROWSDUMMYFUNCTION(IF(A1306="","",IFERROR(IMAGE(CONCATENATE("https://us.pandora.net/on/demandware.static/-/Sites-pandora-master-catalog/default/dwbb259ca6/productimages/singlepackshot/",LEFT(A1306,FIND("-",A1306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06" s="5" t="str">
        <f ca="1">IFERROR(ROWSDUMMYFUNCTION(IF(A1306="","",CONCATENATE("https://us.pandora.net/on/demandware.static/-/Sites-pandora-master-catalog/default/dwbb259ca6/productimages/singlepackshot/",LEFT(A1306,FIND("-",A1306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07" spans="1:4" x14ac:dyDescent="0.25">
      <c r="A1307" s="3" t="s">
        <v>1309</v>
      </c>
      <c r="B1307" s="4">
        <v>79</v>
      </c>
      <c r="C1307" s="3" t="str">
        <f ca="1">IFERROR(ROWSDUMMYFUNCTION(IF(A1307="","",IFERROR(IMAGE(CONCATENATE("https://us.pandora.net/on/demandware.static/-/Sites-pandora-master-catalog/default/dwbb259ca6/productimages/singlepackshot/",LEFT(A1307,FIND("-",A1307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07" s="5" t="str">
        <f ca="1">IFERROR(ROWSDUMMYFUNCTION(IF(A1307="","",CONCATENATE("https://us.pandora.net/on/demandware.static/-/Sites-pandora-master-catalog/default/dwbb259ca6/productimages/singlepackshot/",LEFT(A1307,FIND("-",A1307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08" spans="1:4" x14ac:dyDescent="0.25">
      <c r="A1308" s="3" t="s">
        <v>1310</v>
      </c>
      <c r="B1308" s="4">
        <v>79</v>
      </c>
      <c r="C1308" s="3" t="str">
        <f ca="1">IFERROR(ROWSDUMMYFUNCTION(IF(A1308="","",IFERROR(IMAGE(CONCATENATE("https://us.pandora.net/on/demandware.static/-/Sites-pandora-master-catalog/default/dwbb259ca6/productimages/singlepackshot/",LEFT(A1308,FIND("-",A1308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08" s="5" t="str">
        <f ca="1">IFERROR(ROWSDUMMYFUNCTION(IF(A1308="","",CONCATENATE("https://us.pandora.net/on/demandware.static/-/Sites-pandora-master-catalog/default/dwbb259ca6/productimages/singlepackshot/",LEFT(A1308,FIND("-",A1308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09" spans="1:4" x14ac:dyDescent="0.25">
      <c r="A1309" s="3" t="s">
        <v>1311</v>
      </c>
      <c r="B1309" s="4">
        <v>79</v>
      </c>
      <c r="C1309" s="3" t="str">
        <f ca="1">IFERROR(ROWSDUMMYFUNCTION(IF(A1309="","",IFERROR(IMAGE(CONCATENATE("https://us.pandora.net/on/demandware.static/-/Sites-pandora-master-catalog/default/dwbb259ca6/productimages/singlepackshot/",LEFT(A1309,FIND("-",A1309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09" s="5" t="str">
        <f ca="1">IFERROR(ROWSDUMMYFUNCTION(IF(A1309="","",CONCATENATE("https://us.pandora.net/on/demandware.static/-/Sites-pandora-master-catalog/default/dwbb259ca6/productimages/singlepackshot/",LEFT(A1309,FIND("-",A1309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10" spans="1:4" x14ac:dyDescent="0.25">
      <c r="A1310" s="3" t="s">
        <v>1312</v>
      </c>
      <c r="B1310" s="4">
        <v>79</v>
      </c>
      <c r="C1310" s="3" t="str">
        <f ca="1">IFERROR(ROWSDUMMYFUNCTION(IF(A1310="","",IFERROR(IMAGE(CONCATENATE("https://us.pandora.net/on/demandware.static/-/Sites-pandora-master-catalog/default/dwbb259ca6/productimages/singlepackshot/",LEFT(A1310,FIND("-",A1310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10" s="5" t="str">
        <f ca="1">IFERROR(ROWSDUMMYFUNCTION(IF(A1310="","",CONCATENATE("https://us.pandora.net/on/demandware.static/-/Sites-pandora-master-catalog/default/dwbb259ca6/productimages/singlepackshot/",LEFT(A1310,FIND("-",A1310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11" spans="1:4" x14ac:dyDescent="0.25">
      <c r="A1311" s="3" t="s">
        <v>1313</v>
      </c>
      <c r="B1311" s="4">
        <v>79</v>
      </c>
      <c r="C1311" s="3" t="str">
        <f ca="1">IFERROR(ROWSDUMMYFUNCTION(IF(A1311="","",IFERROR(IMAGE(CONCATENATE("https://us.pandora.net/on/demandware.static/-/Sites-pandora-master-catalog/default/dwbb259ca6/productimages/singlepackshot/",LEFT(A1311,FIND("-",A1311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11" s="5" t="str">
        <f ca="1">IFERROR(ROWSDUMMYFUNCTION(IF(A1311="","",CONCATENATE("https://us.pandora.net/on/demandware.static/-/Sites-pandora-master-catalog/default/dwbb259ca6/productimages/singlepackshot/",LEFT(A1311,FIND("-",A1311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12" spans="1:4" x14ac:dyDescent="0.25">
      <c r="A1312" s="3" t="s">
        <v>1314</v>
      </c>
      <c r="B1312" s="4">
        <v>79</v>
      </c>
      <c r="C1312" s="3" t="str">
        <f ca="1">IFERROR(ROWSDUMMYFUNCTION(IF(A1312="","",IFERROR(IMAGE(CONCATENATE("https://us.pandora.net/on/demandware.static/-/Sites-pandora-master-catalog/default/dwbb259ca6/productimages/singlepackshot/",LEFT(A1312,FIND("-",A1312&amp;"-")-1),"_RGB.png")),""))),"{""url"":""https://us.pandora.net/on/demandware.static/-/Sites-pandora-master-catalog/default/dwbb259ca6/productimages/singlepackshot/193288C00_RGB.png"",""mode"":1}")</f>
        <v>{"url":"https://us.pandora.net/on/demandware.static/-/Sites-pandora-master-catalog/default/dwbb259ca6/productimages/singlepackshot/193288C00_RGB.png","mode":1}</v>
      </c>
      <c r="D1312" s="5" t="str">
        <f ca="1">IFERROR(ROWSDUMMYFUNCTION(IF(A1312="","",CONCATENATE("https://us.pandora.net/on/demandware.static/-/Sites-pandora-master-catalog/default/dwbb259ca6/productimages/singlepackshot/",LEFT(A1312,FIND("-",A1312&amp;"-")-1),"_RGB.png"))),"https://us.pandora.net/on/demandware.static/-/Sites-pandora-master-catalog/default/dwbb259ca6/productimages/singlepackshot/193288C00_RGB.png")</f>
        <v>https://us.pandora.net/on/demandware.static/-/Sites-pandora-master-catalog/default/dwbb259ca6/productimages/singlepackshot/193288C00_RGB.png</v>
      </c>
    </row>
    <row r="1313" spans="1:4" x14ac:dyDescent="0.25">
      <c r="A1313" s="3" t="s">
        <v>1315</v>
      </c>
      <c r="B1313" s="4">
        <v>39</v>
      </c>
      <c r="C1313" s="3" t="str">
        <f ca="1">IFERROR(ROWSDUMMYFUNCTION(IF(A1313="","",IFERROR(IMAGE(CONCATENATE("https://us.pandora.net/on/demandware.static/-/Sites-pandora-master-catalog/default/dwbb259ca6/productimages/singlepackshot/",LEFT(A1313,FIND("-",A1313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3" s="5" t="str">
        <f ca="1">IFERROR(ROWSDUMMYFUNCTION(IF(A1313="","",CONCATENATE("https://us.pandora.net/on/demandware.static/-/Sites-pandora-master-catalog/default/dwbb259ca6/productimages/singlepackshot/",LEFT(A1313,FIND("-",A1313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14" spans="1:4" x14ac:dyDescent="0.25">
      <c r="A1314" s="3" t="s">
        <v>1316</v>
      </c>
      <c r="B1314" s="4">
        <v>39</v>
      </c>
      <c r="C1314" s="3" t="str">
        <f ca="1">IFERROR(ROWSDUMMYFUNCTION(IF(A1314="","",IFERROR(IMAGE(CONCATENATE("https://us.pandora.net/on/demandware.static/-/Sites-pandora-master-catalog/default/dwbb259ca6/productimages/singlepackshot/",LEFT(A1314,FIND("-",A1314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4" s="5" t="str">
        <f ca="1">IFERROR(ROWSDUMMYFUNCTION(IF(A1314="","",CONCATENATE("https://us.pandora.net/on/demandware.static/-/Sites-pandora-master-catalog/default/dwbb259ca6/productimages/singlepackshot/",LEFT(A1314,FIND("-",A1314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15" spans="1:4" x14ac:dyDescent="0.25">
      <c r="A1315" s="3" t="s">
        <v>1317</v>
      </c>
      <c r="B1315" s="4">
        <v>39</v>
      </c>
      <c r="C1315" s="3" t="str">
        <f ca="1">IFERROR(ROWSDUMMYFUNCTION(IF(A1315="","",IFERROR(IMAGE(CONCATENATE("https://us.pandora.net/on/demandware.static/-/Sites-pandora-master-catalog/default/dwbb259ca6/productimages/singlepackshot/",LEFT(A1315,FIND("-",A1315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5" s="5" t="str">
        <f ca="1">IFERROR(ROWSDUMMYFUNCTION(IF(A1315="","",CONCATENATE("https://us.pandora.net/on/demandware.static/-/Sites-pandora-master-catalog/default/dwbb259ca6/productimages/singlepackshot/",LEFT(A1315,FIND("-",A1315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16" spans="1:4" x14ac:dyDescent="0.25">
      <c r="A1316" s="3" t="s">
        <v>1318</v>
      </c>
      <c r="B1316" s="4">
        <v>39</v>
      </c>
      <c r="C1316" s="3" t="str">
        <f ca="1">IFERROR(ROWSDUMMYFUNCTION(IF(A1316="","",IFERROR(IMAGE(CONCATENATE("https://us.pandora.net/on/demandware.static/-/Sites-pandora-master-catalog/default/dwbb259ca6/productimages/singlepackshot/",LEFT(A1316,FIND("-",A1316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6" s="5" t="str">
        <f ca="1">IFERROR(ROWSDUMMYFUNCTION(IF(A1316="","",CONCATENATE("https://us.pandora.net/on/demandware.static/-/Sites-pandora-master-catalog/default/dwbb259ca6/productimages/singlepackshot/",LEFT(A1316,FIND("-",A1316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17" spans="1:4" x14ac:dyDescent="0.25">
      <c r="A1317" s="3" t="s">
        <v>1319</v>
      </c>
      <c r="B1317" s="4">
        <v>39</v>
      </c>
      <c r="C1317" s="3" t="str">
        <f ca="1">IFERROR(ROWSDUMMYFUNCTION(IF(A1317="","",IFERROR(IMAGE(CONCATENATE("https://us.pandora.net/on/demandware.static/-/Sites-pandora-master-catalog/default/dwbb259ca6/productimages/singlepackshot/",LEFT(A1317,FIND("-",A1317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7" s="5" t="str">
        <f ca="1">IFERROR(ROWSDUMMYFUNCTION(IF(A1317="","",CONCATENATE("https://us.pandora.net/on/demandware.static/-/Sites-pandora-master-catalog/default/dwbb259ca6/productimages/singlepackshot/",LEFT(A1317,FIND("-",A1317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18" spans="1:4" x14ac:dyDescent="0.25">
      <c r="A1318" s="3" t="s">
        <v>1320</v>
      </c>
      <c r="B1318" s="4">
        <v>39</v>
      </c>
      <c r="C1318" s="3" t="str">
        <f ca="1">IFERROR(ROWSDUMMYFUNCTION(IF(A1318="","",IFERROR(IMAGE(CONCATENATE("https://us.pandora.net/on/demandware.static/-/Sites-pandora-master-catalog/default/dwbb259ca6/productimages/singlepackshot/",LEFT(A1318,FIND("-",A1318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8" s="5" t="str">
        <f ca="1">IFERROR(ROWSDUMMYFUNCTION(IF(A1318="","",CONCATENATE("https://us.pandora.net/on/demandware.static/-/Sites-pandora-master-catalog/default/dwbb259ca6/productimages/singlepackshot/",LEFT(A1318,FIND("-",A1318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19" spans="1:4" x14ac:dyDescent="0.25">
      <c r="A1319" s="3" t="s">
        <v>1321</v>
      </c>
      <c r="B1319" s="4">
        <v>39</v>
      </c>
      <c r="C1319" s="3" t="str">
        <f ca="1">IFERROR(ROWSDUMMYFUNCTION(IF(A1319="","",IFERROR(IMAGE(CONCATENATE("https://us.pandora.net/on/demandware.static/-/Sites-pandora-master-catalog/default/dwbb259ca6/productimages/singlepackshot/",LEFT(A1319,FIND("-",A1319&amp;"-")-1),"_RGB.png")),""))),"{""url"":""https://us.pandora.net/on/demandware.static/-/Sites-pandora-master-catalog/default/dwbb259ca6/productimages/singlepackshot/193314C00_RGB.png"",""mode"":1}")</f>
        <v>{"url":"https://us.pandora.net/on/demandware.static/-/Sites-pandora-master-catalog/default/dwbb259ca6/productimages/singlepackshot/193314C00_RGB.png","mode":1}</v>
      </c>
      <c r="D1319" s="5" t="str">
        <f ca="1">IFERROR(ROWSDUMMYFUNCTION(IF(A1319="","",CONCATENATE("https://us.pandora.net/on/demandware.static/-/Sites-pandora-master-catalog/default/dwbb259ca6/productimages/singlepackshot/",LEFT(A1319,FIND("-",A1319&amp;"-")-1),"_RGB.png"))),"https://us.pandora.net/on/demandware.static/-/Sites-pandora-master-catalog/default/dwbb259ca6/productimages/singlepackshot/193314C00_RGB.png")</f>
        <v>https://us.pandora.net/on/demandware.static/-/Sites-pandora-master-catalog/default/dwbb259ca6/productimages/singlepackshot/193314C00_RGB.png</v>
      </c>
    </row>
    <row r="1320" spans="1:4" x14ac:dyDescent="0.25">
      <c r="A1320" s="3" t="s">
        <v>1322</v>
      </c>
      <c r="B1320" s="4">
        <v>79</v>
      </c>
      <c r="C1320" s="3" t="str">
        <f ca="1">IFERROR(ROWSDUMMYFUNCTION(IF(A1320="","",IFERROR(IMAGE(CONCATENATE("https://us.pandora.net/on/demandware.static/-/Sites-pandora-master-catalog/default/dwbb259ca6/productimages/singlepackshot/",LEFT(A1320,FIND("-",A1320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0" s="5" t="str">
        <f ca="1">IFERROR(ROWSDUMMYFUNCTION(IF(A1320="","",CONCATENATE("https://us.pandora.net/on/demandware.static/-/Sites-pandora-master-catalog/default/dwbb259ca6/productimages/singlepackshot/",LEFT(A1320,FIND("-",A1320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1" spans="1:4" x14ac:dyDescent="0.25">
      <c r="A1321" s="3" t="s">
        <v>1323</v>
      </c>
      <c r="B1321" s="4">
        <v>79</v>
      </c>
      <c r="C1321" s="3" t="str">
        <f ca="1">IFERROR(ROWSDUMMYFUNCTION(IF(A1321="","",IFERROR(IMAGE(CONCATENATE("https://us.pandora.net/on/demandware.static/-/Sites-pandora-master-catalog/default/dwbb259ca6/productimages/singlepackshot/",LEFT(A1321,FIND("-",A1321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1" s="5" t="str">
        <f ca="1">IFERROR(ROWSDUMMYFUNCTION(IF(A1321="","",CONCATENATE("https://us.pandora.net/on/demandware.static/-/Sites-pandora-master-catalog/default/dwbb259ca6/productimages/singlepackshot/",LEFT(A1321,FIND("-",A1321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2" spans="1:4" x14ac:dyDescent="0.25">
      <c r="A1322" s="3" t="s">
        <v>1324</v>
      </c>
      <c r="B1322" s="4">
        <v>79</v>
      </c>
      <c r="C1322" s="3" t="str">
        <f ca="1">IFERROR(ROWSDUMMYFUNCTION(IF(A1322="","",IFERROR(IMAGE(CONCATENATE("https://us.pandora.net/on/demandware.static/-/Sites-pandora-master-catalog/default/dwbb259ca6/productimages/singlepackshot/",LEFT(A1322,FIND("-",A1322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2" s="5" t="str">
        <f ca="1">IFERROR(ROWSDUMMYFUNCTION(IF(A1322="","",CONCATENATE("https://us.pandora.net/on/demandware.static/-/Sites-pandora-master-catalog/default/dwbb259ca6/productimages/singlepackshot/",LEFT(A1322,FIND("-",A1322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3" spans="1:4" x14ac:dyDescent="0.25">
      <c r="A1323" s="3" t="s">
        <v>1325</v>
      </c>
      <c r="B1323" s="4">
        <v>79</v>
      </c>
      <c r="C1323" s="3" t="str">
        <f ca="1">IFERROR(ROWSDUMMYFUNCTION(IF(A1323="","",IFERROR(IMAGE(CONCATENATE("https://us.pandora.net/on/demandware.static/-/Sites-pandora-master-catalog/default/dwbb259ca6/productimages/singlepackshot/",LEFT(A1323,FIND("-",A1323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3" s="5" t="str">
        <f ca="1">IFERROR(ROWSDUMMYFUNCTION(IF(A1323="","",CONCATENATE("https://us.pandora.net/on/demandware.static/-/Sites-pandora-master-catalog/default/dwbb259ca6/productimages/singlepackshot/",LEFT(A1323,FIND("-",A1323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4" spans="1:4" x14ac:dyDescent="0.25">
      <c r="A1324" s="3" t="s">
        <v>1326</v>
      </c>
      <c r="B1324" s="4">
        <v>79</v>
      </c>
      <c r="C1324" s="3" t="str">
        <f ca="1">IFERROR(ROWSDUMMYFUNCTION(IF(A1324="","",IFERROR(IMAGE(CONCATENATE("https://us.pandora.net/on/demandware.static/-/Sites-pandora-master-catalog/default/dwbb259ca6/productimages/singlepackshot/",LEFT(A1324,FIND("-",A1324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4" s="5" t="str">
        <f ca="1">IFERROR(ROWSDUMMYFUNCTION(IF(A1324="","",CONCATENATE("https://us.pandora.net/on/demandware.static/-/Sites-pandora-master-catalog/default/dwbb259ca6/productimages/singlepackshot/",LEFT(A1324,FIND("-",A1324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5" spans="1:4" x14ac:dyDescent="0.25">
      <c r="A1325" s="3" t="s">
        <v>1327</v>
      </c>
      <c r="B1325" s="4">
        <v>79</v>
      </c>
      <c r="C1325" s="3" t="str">
        <f ca="1">IFERROR(ROWSDUMMYFUNCTION(IF(A1325="","",IFERROR(IMAGE(CONCATENATE("https://us.pandora.net/on/demandware.static/-/Sites-pandora-master-catalog/default/dwbb259ca6/productimages/singlepackshot/",LEFT(A1325,FIND("-",A1325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5" s="5" t="str">
        <f ca="1">IFERROR(ROWSDUMMYFUNCTION(IF(A1325="","",CONCATENATE("https://us.pandora.net/on/demandware.static/-/Sites-pandora-master-catalog/default/dwbb259ca6/productimages/singlepackshot/",LEFT(A1325,FIND("-",A1325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6" spans="1:4" x14ac:dyDescent="0.25">
      <c r="A1326" s="3" t="s">
        <v>1328</v>
      </c>
      <c r="B1326" s="4">
        <v>79</v>
      </c>
      <c r="C1326" s="3" t="str">
        <f ca="1">IFERROR(ROWSDUMMYFUNCTION(IF(A1326="","",IFERROR(IMAGE(CONCATENATE("https://us.pandora.net/on/demandware.static/-/Sites-pandora-master-catalog/default/dwbb259ca6/productimages/singlepackshot/",LEFT(A1326,FIND("-",A1326&amp;"-")-1),"_RGB.png")),""))),"{""url"":""https://us.pandora.net/on/demandware.static/-/Sites-pandora-master-catalog/default/dwbb259ca6/productimages/singlepackshot/193318C00_RGB.png"",""mode"":1}")</f>
        <v>{"url":"https://us.pandora.net/on/demandware.static/-/Sites-pandora-master-catalog/default/dwbb259ca6/productimages/singlepackshot/193318C00_RGB.png","mode":1}</v>
      </c>
      <c r="D1326" s="5" t="str">
        <f ca="1">IFERROR(ROWSDUMMYFUNCTION(IF(A1326="","",CONCATENATE("https://us.pandora.net/on/demandware.static/-/Sites-pandora-master-catalog/default/dwbb259ca6/productimages/singlepackshot/",LEFT(A1326,FIND("-",A1326&amp;"-")-1),"_RGB.png"))),"https://us.pandora.net/on/demandware.static/-/Sites-pandora-master-catalog/default/dwbb259ca6/productimages/singlepackshot/193318C00_RGB.png")</f>
        <v>https://us.pandora.net/on/demandware.static/-/Sites-pandora-master-catalog/default/dwbb259ca6/productimages/singlepackshot/193318C00_RGB.png</v>
      </c>
    </row>
    <row r="1327" spans="1:4" x14ac:dyDescent="0.25">
      <c r="A1327" s="3" t="s">
        <v>1329</v>
      </c>
      <c r="B1327" s="4">
        <v>35</v>
      </c>
      <c r="C1327" s="3" t="str">
        <f ca="1">IFERROR(ROWSDUMMYFUNCTION(IF(A1327="","",IFERROR(IMAGE(CONCATENATE("https://us.pandora.net/on/demandware.static/-/Sites-pandora-master-catalog/default/dwbb259ca6/productimages/singlepackshot/",LEFT(A1327,FIND("-",A1327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27" s="5" t="str">
        <f ca="1">IFERROR(ROWSDUMMYFUNCTION(IF(A1327="","",CONCATENATE("https://us.pandora.net/on/demandware.static/-/Sites-pandora-master-catalog/default/dwbb259ca6/productimages/singlepackshot/",LEFT(A1327,FIND("-",A1327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28" spans="1:4" x14ac:dyDescent="0.25">
      <c r="A1328" s="3" t="s">
        <v>1330</v>
      </c>
      <c r="B1328" s="4">
        <v>35</v>
      </c>
      <c r="C1328" s="3" t="str">
        <f ca="1">IFERROR(ROWSDUMMYFUNCTION(IF(A1328="","",IFERROR(IMAGE(CONCATENATE("https://us.pandora.net/on/demandware.static/-/Sites-pandora-master-catalog/default/dwbb259ca6/productimages/singlepackshot/",LEFT(A1328,FIND("-",A1328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28" s="5" t="str">
        <f ca="1">IFERROR(ROWSDUMMYFUNCTION(IF(A1328="","",CONCATENATE("https://us.pandora.net/on/demandware.static/-/Sites-pandora-master-catalog/default/dwbb259ca6/productimages/singlepackshot/",LEFT(A1328,FIND("-",A1328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29" spans="1:4" x14ac:dyDescent="0.25">
      <c r="A1329" s="3" t="s">
        <v>1331</v>
      </c>
      <c r="B1329" s="4">
        <v>35</v>
      </c>
      <c r="C1329" s="3" t="str">
        <f ca="1">IFERROR(ROWSDUMMYFUNCTION(IF(A1329="","",IFERROR(IMAGE(CONCATENATE("https://us.pandora.net/on/demandware.static/-/Sites-pandora-master-catalog/default/dwbb259ca6/productimages/singlepackshot/",LEFT(A1329,FIND("-",A1329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29" s="5" t="str">
        <f ca="1">IFERROR(ROWSDUMMYFUNCTION(IF(A1329="","",CONCATENATE("https://us.pandora.net/on/demandware.static/-/Sites-pandora-master-catalog/default/dwbb259ca6/productimages/singlepackshot/",LEFT(A1329,FIND("-",A1329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0" spans="1:4" x14ac:dyDescent="0.25">
      <c r="A1330" s="3" t="s">
        <v>1332</v>
      </c>
      <c r="B1330" s="4">
        <v>35</v>
      </c>
      <c r="C1330" s="3" t="str">
        <f ca="1">IFERROR(ROWSDUMMYFUNCTION(IF(A1330="","",IFERROR(IMAGE(CONCATENATE("https://us.pandora.net/on/demandware.static/-/Sites-pandora-master-catalog/default/dwbb259ca6/productimages/singlepackshot/",LEFT(A1330,FIND("-",A1330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0" s="5" t="str">
        <f ca="1">IFERROR(ROWSDUMMYFUNCTION(IF(A1330="","",CONCATENATE("https://us.pandora.net/on/demandware.static/-/Sites-pandora-master-catalog/default/dwbb259ca6/productimages/singlepackshot/",LEFT(A1330,FIND("-",A1330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1" spans="1:4" x14ac:dyDescent="0.25">
      <c r="A1331" s="3" t="s">
        <v>1333</v>
      </c>
      <c r="B1331" s="4">
        <v>35</v>
      </c>
      <c r="C1331" s="3" t="str">
        <f ca="1">IFERROR(ROWSDUMMYFUNCTION(IF(A1331="","",IFERROR(IMAGE(CONCATENATE("https://us.pandora.net/on/demandware.static/-/Sites-pandora-master-catalog/default/dwbb259ca6/productimages/singlepackshot/",LEFT(A1331,FIND("-",A1331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1" s="5" t="str">
        <f ca="1">IFERROR(ROWSDUMMYFUNCTION(IF(A1331="","",CONCATENATE("https://us.pandora.net/on/demandware.static/-/Sites-pandora-master-catalog/default/dwbb259ca6/productimages/singlepackshot/",LEFT(A1331,FIND("-",A1331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2" spans="1:4" x14ac:dyDescent="0.25">
      <c r="A1332" s="3" t="s">
        <v>1334</v>
      </c>
      <c r="B1332" s="4">
        <v>35</v>
      </c>
      <c r="C1332" s="3" t="str">
        <f ca="1">IFERROR(ROWSDUMMYFUNCTION(IF(A1332="","",IFERROR(IMAGE(CONCATENATE("https://us.pandora.net/on/demandware.static/-/Sites-pandora-master-catalog/default/dwbb259ca6/productimages/singlepackshot/",LEFT(A1332,FIND("-",A1332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2" s="5" t="str">
        <f ca="1">IFERROR(ROWSDUMMYFUNCTION(IF(A1332="","",CONCATENATE("https://us.pandora.net/on/demandware.static/-/Sites-pandora-master-catalog/default/dwbb259ca6/productimages/singlepackshot/",LEFT(A1332,FIND("-",A1332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3" spans="1:4" x14ac:dyDescent="0.25">
      <c r="A1333" s="3" t="s">
        <v>1335</v>
      </c>
      <c r="B1333" s="4">
        <v>35</v>
      </c>
      <c r="C1333" s="3" t="str">
        <f ca="1">IFERROR(ROWSDUMMYFUNCTION(IF(A1333="","",IFERROR(IMAGE(CONCATENATE("https://us.pandora.net/on/demandware.static/-/Sites-pandora-master-catalog/default/dwbb259ca6/productimages/singlepackshot/",LEFT(A1333,FIND("-",A1333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3" s="5" t="str">
        <f ca="1">IFERROR(ROWSDUMMYFUNCTION(IF(A1333="","",CONCATENATE("https://us.pandora.net/on/demandware.static/-/Sites-pandora-master-catalog/default/dwbb259ca6/productimages/singlepackshot/",LEFT(A1333,FIND("-",A1333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4" spans="1:4" x14ac:dyDescent="0.25">
      <c r="A1334" s="3" t="s">
        <v>1336</v>
      </c>
      <c r="B1334" s="4">
        <v>35</v>
      </c>
      <c r="C1334" s="3" t="str">
        <f ca="1">IFERROR(ROWSDUMMYFUNCTION(IF(A1334="","",IFERROR(IMAGE(CONCATENATE("https://us.pandora.net/on/demandware.static/-/Sites-pandora-master-catalog/default/dwbb259ca6/productimages/singlepackshot/",LEFT(A1334,FIND("-",A1334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4" s="5" t="str">
        <f ca="1">IFERROR(ROWSDUMMYFUNCTION(IF(A1334="","",CONCATENATE("https://us.pandora.net/on/demandware.static/-/Sites-pandora-master-catalog/default/dwbb259ca6/productimages/singlepackshot/",LEFT(A1334,FIND("-",A1334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5" spans="1:4" x14ac:dyDescent="0.25">
      <c r="A1335" s="3" t="s">
        <v>1337</v>
      </c>
      <c r="B1335" s="4">
        <v>35</v>
      </c>
      <c r="C1335" s="3" t="str">
        <f ca="1">IFERROR(ROWSDUMMYFUNCTION(IF(A1335="","",IFERROR(IMAGE(CONCATENATE("https://us.pandora.net/on/demandware.static/-/Sites-pandora-master-catalog/default/dwbb259ca6/productimages/singlepackshot/",LEFT(A1335,FIND("-",A1335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5" s="5" t="str">
        <f ca="1">IFERROR(ROWSDUMMYFUNCTION(IF(A1335="","",CONCATENATE("https://us.pandora.net/on/demandware.static/-/Sites-pandora-master-catalog/default/dwbb259ca6/productimages/singlepackshot/",LEFT(A1335,FIND("-",A1335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6" spans="1:4" x14ac:dyDescent="0.25">
      <c r="A1336" s="3" t="s">
        <v>1338</v>
      </c>
      <c r="B1336" s="4">
        <v>35</v>
      </c>
      <c r="C1336" s="3" t="str">
        <f ca="1">IFERROR(ROWSDUMMYFUNCTION(IF(A1336="","",IFERROR(IMAGE(CONCATENATE("https://us.pandora.net/on/demandware.static/-/Sites-pandora-master-catalog/default/dwbb259ca6/productimages/singlepackshot/",LEFT(A1336,FIND("-",A1336&amp;"-")-1),"_RGB.png")),""))),"{""url"":""https://us.pandora.net/on/demandware.static/-/Sites-pandora-master-catalog/default/dwbb259ca6/productimages/singlepackshot/193322C01_RGB.png"",""mode"":1}")</f>
        <v>{"url":"https://us.pandora.net/on/demandware.static/-/Sites-pandora-master-catalog/default/dwbb259ca6/productimages/singlepackshot/193322C01_RGB.png","mode":1}</v>
      </c>
      <c r="D1336" s="5" t="str">
        <f ca="1">IFERROR(ROWSDUMMYFUNCTION(IF(A1336="","",CONCATENATE("https://us.pandora.net/on/demandware.static/-/Sites-pandora-master-catalog/default/dwbb259ca6/productimages/singlepackshot/",LEFT(A1336,FIND("-",A1336&amp;"-")-1),"_RGB.png"))),"https://us.pandora.net/on/demandware.static/-/Sites-pandora-master-catalog/default/dwbb259ca6/productimages/singlepackshot/193322C01_RGB.png")</f>
        <v>https://us.pandora.net/on/demandware.static/-/Sites-pandora-master-catalog/default/dwbb259ca6/productimages/singlepackshot/193322C01_RGB.png</v>
      </c>
    </row>
    <row r="1337" spans="1:4" x14ac:dyDescent="0.25">
      <c r="A1337" s="3" t="s">
        <v>1339</v>
      </c>
      <c r="B1337" s="4">
        <v>39</v>
      </c>
      <c r="C1337" s="3" t="str">
        <f ca="1">IFERROR(ROWSDUMMYFUNCTION(IF(A1337="","",IFERROR(IMAGE(CONCATENATE("https://us.pandora.net/on/demandware.static/-/Sites-pandora-master-catalog/default/dwbb259ca6/productimages/singlepackshot/",LEFT(A1337,FIND("-",A1337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37" s="5" t="str">
        <f ca="1">IFERROR(ROWSDUMMYFUNCTION(IF(A1337="","",CONCATENATE("https://us.pandora.net/on/demandware.static/-/Sites-pandora-master-catalog/default/dwbb259ca6/productimages/singlepackshot/",LEFT(A1337,FIND("-",A1337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38" spans="1:4" x14ac:dyDescent="0.25">
      <c r="A1338" s="3" t="s">
        <v>1340</v>
      </c>
      <c r="B1338" s="4">
        <v>39</v>
      </c>
      <c r="C1338" s="3" t="str">
        <f ca="1">IFERROR(ROWSDUMMYFUNCTION(IF(A1338="","",IFERROR(IMAGE(CONCATENATE("https://us.pandora.net/on/demandware.static/-/Sites-pandora-master-catalog/default/dwbb259ca6/productimages/singlepackshot/",LEFT(A1338,FIND("-",A1338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38" s="5" t="str">
        <f ca="1">IFERROR(ROWSDUMMYFUNCTION(IF(A1338="","",CONCATENATE("https://us.pandora.net/on/demandware.static/-/Sites-pandora-master-catalog/default/dwbb259ca6/productimages/singlepackshot/",LEFT(A1338,FIND("-",A1338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39" spans="1:4" x14ac:dyDescent="0.25">
      <c r="A1339" s="3" t="s">
        <v>1341</v>
      </c>
      <c r="B1339" s="4">
        <v>39</v>
      </c>
      <c r="C1339" s="3" t="str">
        <f ca="1">IFERROR(ROWSDUMMYFUNCTION(IF(A1339="","",IFERROR(IMAGE(CONCATENATE("https://us.pandora.net/on/demandware.static/-/Sites-pandora-master-catalog/default/dwbb259ca6/productimages/singlepackshot/",LEFT(A1339,FIND("-",A1339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39" s="5" t="str">
        <f ca="1">IFERROR(ROWSDUMMYFUNCTION(IF(A1339="","",CONCATENATE("https://us.pandora.net/on/demandware.static/-/Sites-pandora-master-catalog/default/dwbb259ca6/productimages/singlepackshot/",LEFT(A1339,FIND("-",A1339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40" spans="1:4" x14ac:dyDescent="0.25">
      <c r="A1340" s="3" t="s">
        <v>1342</v>
      </c>
      <c r="B1340" s="4">
        <v>39</v>
      </c>
      <c r="C1340" s="3" t="str">
        <f ca="1">IFERROR(ROWSDUMMYFUNCTION(IF(A1340="","",IFERROR(IMAGE(CONCATENATE("https://us.pandora.net/on/demandware.static/-/Sites-pandora-master-catalog/default/dwbb259ca6/productimages/singlepackshot/",LEFT(A1340,FIND("-",A1340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40" s="5" t="str">
        <f ca="1">IFERROR(ROWSDUMMYFUNCTION(IF(A1340="","",CONCATENATE("https://us.pandora.net/on/demandware.static/-/Sites-pandora-master-catalog/default/dwbb259ca6/productimages/singlepackshot/",LEFT(A1340,FIND("-",A1340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41" spans="1:4" x14ac:dyDescent="0.25">
      <c r="A1341" s="3" t="s">
        <v>1343</v>
      </c>
      <c r="B1341" s="4">
        <v>39</v>
      </c>
      <c r="C1341" s="3" t="str">
        <f ca="1">IFERROR(ROWSDUMMYFUNCTION(IF(A1341="","",IFERROR(IMAGE(CONCATENATE("https://us.pandora.net/on/demandware.static/-/Sites-pandora-master-catalog/default/dwbb259ca6/productimages/singlepackshot/",LEFT(A1341,FIND("-",A1341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41" s="5" t="str">
        <f ca="1">IFERROR(ROWSDUMMYFUNCTION(IF(A1341="","",CONCATENATE("https://us.pandora.net/on/demandware.static/-/Sites-pandora-master-catalog/default/dwbb259ca6/productimages/singlepackshot/",LEFT(A1341,FIND("-",A1341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42" spans="1:4" x14ac:dyDescent="0.25">
      <c r="A1342" s="3" t="s">
        <v>1344</v>
      </c>
      <c r="B1342" s="4">
        <v>39</v>
      </c>
      <c r="C1342" s="3" t="str">
        <f ca="1">IFERROR(ROWSDUMMYFUNCTION(IF(A1342="","",IFERROR(IMAGE(CONCATENATE("https://us.pandora.net/on/demandware.static/-/Sites-pandora-master-catalog/default/dwbb259ca6/productimages/singlepackshot/",LEFT(A1342,FIND("-",A1342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42" s="5" t="str">
        <f ca="1">IFERROR(ROWSDUMMYFUNCTION(IF(A1342="","",CONCATENATE("https://us.pandora.net/on/demandware.static/-/Sites-pandora-master-catalog/default/dwbb259ca6/productimages/singlepackshot/",LEFT(A1342,FIND("-",A1342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43" spans="1:4" x14ac:dyDescent="0.25">
      <c r="A1343" s="3" t="s">
        <v>1345</v>
      </c>
      <c r="B1343" s="4">
        <v>39</v>
      </c>
      <c r="C1343" s="3" t="str">
        <f ca="1">IFERROR(ROWSDUMMYFUNCTION(IF(A1343="","",IFERROR(IMAGE(CONCATENATE("https://us.pandora.net/on/demandware.static/-/Sites-pandora-master-catalog/default/dwbb259ca6/productimages/singlepackshot/",LEFT(A1343,FIND("-",A1343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43" s="5" t="str">
        <f ca="1">IFERROR(ROWSDUMMYFUNCTION(IF(A1343="","",CONCATENATE("https://us.pandora.net/on/demandware.static/-/Sites-pandora-master-catalog/default/dwbb259ca6/productimages/singlepackshot/",LEFT(A1343,FIND("-",A1343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44" spans="1:4" x14ac:dyDescent="0.25">
      <c r="A1344" s="3" t="s">
        <v>1346</v>
      </c>
      <c r="B1344" s="4">
        <v>39</v>
      </c>
      <c r="C1344" s="3" t="str">
        <f ca="1">IFERROR(ROWSDUMMYFUNCTION(IF(A1344="","",IFERROR(IMAGE(CONCATENATE("https://us.pandora.net/on/demandware.static/-/Sites-pandora-master-catalog/default/dwbb259ca6/productimages/singlepackshot/",LEFT(A1344,FIND("-",A1344&amp;"-")-1),"_RGB.png")),""))),"{""url"":""https://us.pandora.net/on/demandware.static/-/Sites-pandora-master-catalog/default/dwbb259ca6/productimages/singlepackshot/193325C01_RGB.png"",""mode"":1}")</f>
        <v>{"url":"https://us.pandora.net/on/demandware.static/-/Sites-pandora-master-catalog/default/dwbb259ca6/productimages/singlepackshot/193325C01_RGB.png","mode":1}</v>
      </c>
      <c r="D1344" s="5" t="str">
        <f ca="1">IFERROR(ROWSDUMMYFUNCTION(IF(A1344="","",CONCATENATE("https://us.pandora.net/on/demandware.static/-/Sites-pandora-master-catalog/default/dwbb259ca6/productimages/singlepackshot/",LEFT(A1344,FIND("-",A1344&amp;"-")-1),"_RGB.png"))),"https://us.pandora.net/on/demandware.static/-/Sites-pandora-master-catalog/default/dwbb259ca6/productimages/singlepackshot/193325C01_RGB.png")</f>
        <v>https://us.pandora.net/on/demandware.static/-/Sites-pandora-master-catalog/default/dwbb259ca6/productimages/singlepackshot/193325C01_RGB.png</v>
      </c>
    </row>
    <row r="1345" spans="1:4" x14ac:dyDescent="0.25">
      <c r="A1345" s="3" t="s">
        <v>1347</v>
      </c>
      <c r="B1345" s="4">
        <v>79</v>
      </c>
      <c r="C1345" s="3" t="str">
        <f ca="1">IFERROR(ROWSDUMMYFUNCTION(IF(A1345="","",IFERROR(IMAGE(CONCATENATE("https://us.pandora.net/on/demandware.static/-/Sites-pandora-master-catalog/default/dwbb259ca6/productimages/singlepackshot/",LEFT(A1345,FIND("-",A1345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45" s="5" t="str">
        <f ca="1">IFERROR(ROWSDUMMYFUNCTION(IF(A1345="","",CONCATENATE("https://us.pandora.net/on/demandware.static/-/Sites-pandora-master-catalog/default/dwbb259ca6/productimages/singlepackshot/",LEFT(A1345,FIND("-",A1345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46" spans="1:4" x14ac:dyDescent="0.25">
      <c r="A1346" s="3" t="s">
        <v>1348</v>
      </c>
      <c r="B1346" s="4">
        <v>79</v>
      </c>
      <c r="C1346" s="3" t="str">
        <f ca="1">IFERROR(ROWSDUMMYFUNCTION(IF(A1346="","",IFERROR(IMAGE(CONCATENATE("https://us.pandora.net/on/demandware.static/-/Sites-pandora-master-catalog/default/dwbb259ca6/productimages/singlepackshot/",LEFT(A1346,FIND("-",A1346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46" s="5" t="str">
        <f ca="1">IFERROR(ROWSDUMMYFUNCTION(IF(A1346="","",CONCATENATE("https://us.pandora.net/on/demandware.static/-/Sites-pandora-master-catalog/default/dwbb259ca6/productimages/singlepackshot/",LEFT(A1346,FIND("-",A1346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47" spans="1:4" x14ac:dyDescent="0.25">
      <c r="A1347" s="3" t="s">
        <v>1349</v>
      </c>
      <c r="B1347" s="4">
        <v>79</v>
      </c>
      <c r="C1347" s="3" t="str">
        <f ca="1">IFERROR(ROWSDUMMYFUNCTION(IF(A1347="","",IFERROR(IMAGE(CONCATENATE("https://us.pandora.net/on/demandware.static/-/Sites-pandora-master-catalog/default/dwbb259ca6/productimages/singlepackshot/",LEFT(A1347,FIND("-",A1347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47" s="5" t="str">
        <f ca="1">IFERROR(ROWSDUMMYFUNCTION(IF(A1347="","",CONCATENATE("https://us.pandora.net/on/demandware.static/-/Sites-pandora-master-catalog/default/dwbb259ca6/productimages/singlepackshot/",LEFT(A1347,FIND("-",A1347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48" spans="1:4" x14ac:dyDescent="0.25">
      <c r="A1348" s="3" t="s">
        <v>1350</v>
      </c>
      <c r="B1348" s="4">
        <v>79</v>
      </c>
      <c r="C1348" s="3" t="str">
        <f ca="1">IFERROR(ROWSDUMMYFUNCTION(IF(A1348="","",IFERROR(IMAGE(CONCATENATE("https://us.pandora.net/on/demandware.static/-/Sites-pandora-master-catalog/default/dwbb259ca6/productimages/singlepackshot/",LEFT(A1348,FIND("-",A1348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48" s="5" t="str">
        <f ca="1">IFERROR(ROWSDUMMYFUNCTION(IF(A1348="","",CONCATENATE("https://us.pandora.net/on/demandware.static/-/Sites-pandora-master-catalog/default/dwbb259ca6/productimages/singlepackshot/",LEFT(A1348,FIND("-",A1348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49" spans="1:4" x14ac:dyDescent="0.25">
      <c r="A1349" s="3" t="s">
        <v>1351</v>
      </c>
      <c r="B1349" s="4">
        <v>79</v>
      </c>
      <c r="C1349" s="3" t="str">
        <f ca="1">IFERROR(ROWSDUMMYFUNCTION(IF(A1349="","",IFERROR(IMAGE(CONCATENATE("https://us.pandora.net/on/demandware.static/-/Sites-pandora-master-catalog/default/dwbb259ca6/productimages/singlepackshot/",LEFT(A1349,FIND("-",A1349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49" s="5" t="str">
        <f ca="1">IFERROR(ROWSDUMMYFUNCTION(IF(A1349="","",CONCATENATE("https://us.pandora.net/on/demandware.static/-/Sites-pandora-master-catalog/default/dwbb259ca6/productimages/singlepackshot/",LEFT(A1349,FIND("-",A1349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50" spans="1:4" x14ac:dyDescent="0.25">
      <c r="A1350" s="3" t="s">
        <v>1352</v>
      </c>
      <c r="B1350" s="4">
        <v>79</v>
      </c>
      <c r="C1350" s="3" t="str">
        <f ca="1">IFERROR(ROWSDUMMYFUNCTION(IF(A1350="","",IFERROR(IMAGE(CONCATENATE("https://us.pandora.net/on/demandware.static/-/Sites-pandora-master-catalog/default/dwbb259ca6/productimages/singlepackshot/",LEFT(A1350,FIND("-",A1350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50" s="5" t="str">
        <f ca="1">IFERROR(ROWSDUMMYFUNCTION(IF(A1350="","",CONCATENATE("https://us.pandora.net/on/demandware.static/-/Sites-pandora-master-catalog/default/dwbb259ca6/productimages/singlepackshot/",LEFT(A1350,FIND("-",A1350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51" spans="1:4" x14ac:dyDescent="0.25">
      <c r="A1351" s="3" t="s">
        <v>1353</v>
      </c>
      <c r="B1351" s="4">
        <v>79</v>
      </c>
      <c r="C1351" s="3" t="str">
        <f ca="1">IFERROR(ROWSDUMMYFUNCTION(IF(A1351="","",IFERROR(IMAGE(CONCATENATE("https://us.pandora.net/on/demandware.static/-/Sites-pandora-master-catalog/default/dwbb259ca6/productimages/singlepackshot/",LEFT(A1351,FIND("-",A1351&amp;"-")-1),"_RGB.png")),""))),"{""url"":""https://us.pandora.net/on/demandware.static/-/Sites-pandora-master-catalog/default/dwbb259ca6/productimages/singlepackshot/193422C01_RGB.png"",""mode"":1}")</f>
        <v>{"url":"https://us.pandora.net/on/demandware.static/-/Sites-pandora-master-catalog/default/dwbb259ca6/productimages/singlepackshot/193422C01_RGB.png","mode":1}</v>
      </c>
      <c r="D1351" s="5" t="str">
        <f ca="1">IFERROR(ROWSDUMMYFUNCTION(IF(A1351="","",CONCATENATE("https://us.pandora.net/on/demandware.static/-/Sites-pandora-master-catalog/default/dwbb259ca6/productimages/singlepackshot/",LEFT(A1351,FIND("-",A1351&amp;"-")-1),"_RGB.png"))),"https://us.pandora.net/on/demandware.static/-/Sites-pandora-master-catalog/default/dwbb259ca6/productimages/singlepackshot/193422C01_RGB.png")</f>
        <v>https://us.pandora.net/on/demandware.static/-/Sites-pandora-master-catalog/default/dwbb259ca6/productimages/singlepackshot/193422C01_RGB.png</v>
      </c>
    </row>
    <row r="1352" spans="1:4" x14ac:dyDescent="0.25">
      <c r="A1352" s="3" t="s">
        <v>1354</v>
      </c>
      <c r="B1352" s="4">
        <v>39</v>
      </c>
      <c r="C1352" s="3" t="str">
        <f ca="1">IFERROR(ROWSDUMMYFUNCTION(IF(A1352="","",IFERROR(IMAGE(CONCATENATE("https://us.pandora.net/on/demandware.static/-/Sites-pandora-master-catalog/default/dwbb259ca6/productimages/singlepackshot/",LEFT(A1352,FIND("-",A1352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2" s="5" t="str">
        <f ca="1">IFERROR(ROWSDUMMYFUNCTION(IF(A1352="","",CONCATENATE("https://us.pandora.net/on/demandware.static/-/Sites-pandora-master-catalog/default/dwbb259ca6/productimages/singlepackshot/",LEFT(A1352,FIND("-",A1352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3" spans="1:4" x14ac:dyDescent="0.25">
      <c r="A1353" s="3" t="s">
        <v>1355</v>
      </c>
      <c r="B1353" s="4">
        <v>39</v>
      </c>
      <c r="C1353" s="3" t="str">
        <f ca="1">IFERROR(ROWSDUMMYFUNCTION(IF(A1353="","",IFERROR(IMAGE(CONCATENATE("https://us.pandora.net/on/demandware.static/-/Sites-pandora-master-catalog/default/dwbb259ca6/productimages/singlepackshot/",LEFT(A1353,FIND("-",A1353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3" s="5" t="str">
        <f ca="1">IFERROR(ROWSDUMMYFUNCTION(IF(A1353="","",CONCATENATE("https://us.pandora.net/on/demandware.static/-/Sites-pandora-master-catalog/default/dwbb259ca6/productimages/singlepackshot/",LEFT(A1353,FIND("-",A1353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4" spans="1:4" x14ac:dyDescent="0.25">
      <c r="A1354" s="3" t="s">
        <v>1356</v>
      </c>
      <c r="B1354" s="4">
        <v>39</v>
      </c>
      <c r="C1354" s="3" t="str">
        <f ca="1">IFERROR(ROWSDUMMYFUNCTION(IF(A1354="","",IFERROR(IMAGE(CONCATENATE("https://us.pandora.net/on/demandware.static/-/Sites-pandora-master-catalog/default/dwbb259ca6/productimages/singlepackshot/",LEFT(A1354,FIND("-",A1354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4" s="5" t="str">
        <f ca="1">IFERROR(ROWSDUMMYFUNCTION(IF(A1354="","",CONCATENATE("https://us.pandora.net/on/demandware.static/-/Sites-pandora-master-catalog/default/dwbb259ca6/productimages/singlepackshot/",LEFT(A1354,FIND("-",A1354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5" spans="1:4" x14ac:dyDescent="0.25">
      <c r="A1355" s="3" t="s">
        <v>1357</v>
      </c>
      <c r="B1355" s="4">
        <v>39</v>
      </c>
      <c r="C1355" s="3" t="str">
        <f ca="1">IFERROR(ROWSDUMMYFUNCTION(IF(A1355="","",IFERROR(IMAGE(CONCATENATE("https://us.pandora.net/on/demandware.static/-/Sites-pandora-master-catalog/default/dwbb259ca6/productimages/singlepackshot/",LEFT(A1355,FIND("-",A1355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5" s="5" t="str">
        <f ca="1">IFERROR(ROWSDUMMYFUNCTION(IF(A1355="","",CONCATENATE("https://us.pandora.net/on/demandware.static/-/Sites-pandora-master-catalog/default/dwbb259ca6/productimages/singlepackshot/",LEFT(A1355,FIND("-",A1355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6" spans="1:4" x14ac:dyDescent="0.25">
      <c r="A1356" s="3" t="s">
        <v>1358</v>
      </c>
      <c r="B1356" s="4">
        <v>39</v>
      </c>
      <c r="C1356" s="3" t="str">
        <f ca="1">IFERROR(ROWSDUMMYFUNCTION(IF(A1356="","",IFERROR(IMAGE(CONCATENATE("https://us.pandora.net/on/demandware.static/-/Sites-pandora-master-catalog/default/dwbb259ca6/productimages/singlepackshot/",LEFT(A1356,FIND("-",A1356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6" s="5" t="str">
        <f ca="1">IFERROR(ROWSDUMMYFUNCTION(IF(A1356="","",CONCATENATE("https://us.pandora.net/on/demandware.static/-/Sites-pandora-master-catalog/default/dwbb259ca6/productimages/singlepackshot/",LEFT(A1356,FIND("-",A1356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7" spans="1:4" x14ac:dyDescent="0.25">
      <c r="A1357" s="3" t="s">
        <v>1359</v>
      </c>
      <c r="B1357" s="4">
        <v>39</v>
      </c>
      <c r="C1357" s="3" t="str">
        <f ca="1">IFERROR(ROWSDUMMYFUNCTION(IF(A1357="","",IFERROR(IMAGE(CONCATENATE("https://us.pandora.net/on/demandware.static/-/Sites-pandora-master-catalog/default/dwbb259ca6/productimages/singlepackshot/",LEFT(A1357,FIND("-",A1357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7" s="5" t="str">
        <f ca="1">IFERROR(ROWSDUMMYFUNCTION(IF(A1357="","",CONCATENATE("https://us.pandora.net/on/demandware.static/-/Sites-pandora-master-catalog/default/dwbb259ca6/productimages/singlepackshot/",LEFT(A1357,FIND("-",A1357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8" spans="1:4" x14ac:dyDescent="0.25">
      <c r="A1358" s="3" t="s">
        <v>1360</v>
      </c>
      <c r="B1358" s="4">
        <v>39</v>
      </c>
      <c r="C1358" s="3" t="str">
        <f ca="1">IFERROR(ROWSDUMMYFUNCTION(IF(A1358="","",IFERROR(IMAGE(CONCATENATE("https://us.pandora.net/on/demandware.static/-/Sites-pandora-master-catalog/default/dwbb259ca6/productimages/singlepackshot/",LEFT(A1358,FIND("-",A1358&amp;"-")-1),"_RGB.png")),""))),"{""url"":""https://us.pandora.net/on/demandware.static/-/Sites-pandora-master-catalog/default/dwbb259ca6/productimages/singlepackshot/193427C00_RGB.png"",""mode"":1}")</f>
        <v>{"url":"https://us.pandora.net/on/demandware.static/-/Sites-pandora-master-catalog/default/dwbb259ca6/productimages/singlepackshot/193427C00_RGB.png","mode":1}</v>
      </c>
      <c r="D1358" s="5" t="str">
        <f ca="1">IFERROR(ROWSDUMMYFUNCTION(IF(A1358="","",CONCATENATE("https://us.pandora.net/on/demandware.static/-/Sites-pandora-master-catalog/default/dwbb259ca6/productimages/singlepackshot/",LEFT(A1358,FIND("-",A1358&amp;"-")-1),"_RGB.png"))),"https://us.pandora.net/on/demandware.static/-/Sites-pandora-master-catalog/default/dwbb259ca6/productimages/singlepackshot/193427C00_RGB.png")</f>
        <v>https://us.pandora.net/on/demandware.static/-/Sites-pandora-master-catalog/default/dwbb259ca6/productimages/singlepackshot/193427C00_RGB.png</v>
      </c>
    </row>
    <row r="1359" spans="1:4" x14ac:dyDescent="0.25">
      <c r="A1359" s="3" t="s">
        <v>1361</v>
      </c>
      <c r="B1359" s="4">
        <v>69</v>
      </c>
      <c r="C1359" s="3" t="str">
        <f ca="1">IFERROR(ROWSDUMMYFUNCTION(IF(A1359="","",IFERROR(IMAGE(CONCATENATE("https://us.pandora.net/on/demandware.static/-/Sites-pandora-master-catalog/default/dwbb259ca6/productimages/singlepackshot/",LEFT(A1359,FIND("-",A1359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59" s="5" t="str">
        <f ca="1">IFERROR(ROWSDUMMYFUNCTION(IF(A1359="","",CONCATENATE("https://us.pandora.net/on/demandware.static/-/Sites-pandora-master-catalog/default/dwbb259ca6/productimages/singlepackshot/",LEFT(A1359,FIND("-",A1359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0" spans="1:4" x14ac:dyDescent="0.25">
      <c r="A1360" s="3" t="s">
        <v>1362</v>
      </c>
      <c r="B1360" s="4">
        <v>69</v>
      </c>
      <c r="C1360" s="3" t="str">
        <f ca="1">IFERROR(ROWSDUMMYFUNCTION(IF(A1360="","",IFERROR(IMAGE(CONCATENATE("https://us.pandora.net/on/demandware.static/-/Sites-pandora-master-catalog/default/dwbb259ca6/productimages/singlepackshot/",LEFT(A1360,FIND("-",A1360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60" s="5" t="str">
        <f ca="1">IFERROR(ROWSDUMMYFUNCTION(IF(A1360="","",CONCATENATE("https://us.pandora.net/on/demandware.static/-/Sites-pandora-master-catalog/default/dwbb259ca6/productimages/singlepackshot/",LEFT(A1360,FIND("-",A1360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1" spans="1:4" x14ac:dyDescent="0.25">
      <c r="A1361" s="3" t="s">
        <v>1363</v>
      </c>
      <c r="B1361" s="4">
        <v>69</v>
      </c>
      <c r="C1361" s="3" t="str">
        <f ca="1">IFERROR(ROWSDUMMYFUNCTION(IF(A1361="","",IFERROR(IMAGE(CONCATENATE("https://us.pandora.net/on/demandware.static/-/Sites-pandora-master-catalog/default/dwbb259ca6/productimages/singlepackshot/",LEFT(A1361,FIND("-",A1361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61" s="5" t="str">
        <f ca="1">IFERROR(ROWSDUMMYFUNCTION(IF(A1361="","",CONCATENATE("https://us.pandora.net/on/demandware.static/-/Sites-pandora-master-catalog/default/dwbb259ca6/productimages/singlepackshot/",LEFT(A1361,FIND("-",A1361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2" spans="1:4" x14ac:dyDescent="0.25">
      <c r="A1362" s="3" t="s">
        <v>1364</v>
      </c>
      <c r="B1362" s="4">
        <v>69</v>
      </c>
      <c r="C1362" s="3" t="str">
        <f ca="1">IFERROR(ROWSDUMMYFUNCTION(IF(A1362="","",IFERROR(IMAGE(CONCATENATE("https://us.pandora.net/on/demandware.static/-/Sites-pandora-master-catalog/default/dwbb259ca6/productimages/singlepackshot/",LEFT(A1362,FIND("-",A1362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62" s="5" t="str">
        <f ca="1">IFERROR(ROWSDUMMYFUNCTION(IF(A1362="","",CONCATENATE("https://us.pandora.net/on/demandware.static/-/Sites-pandora-master-catalog/default/dwbb259ca6/productimages/singlepackshot/",LEFT(A1362,FIND("-",A1362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3" spans="1:4" x14ac:dyDescent="0.25">
      <c r="A1363" s="3" t="s">
        <v>1365</v>
      </c>
      <c r="B1363" s="4">
        <v>69</v>
      </c>
      <c r="C1363" s="3" t="str">
        <f ca="1">IFERROR(ROWSDUMMYFUNCTION(IF(A1363="","",IFERROR(IMAGE(CONCATENATE("https://us.pandora.net/on/demandware.static/-/Sites-pandora-master-catalog/default/dwbb259ca6/productimages/singlepackshot/",LEFT(A1363,FIND("-",A1363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63" s="5" t="str">
        <f ca="1">IFERROR(ROWSDUMMYFUNCTION(IF(A1363="","",CONCATENATE("https://us.pandora.net/on/demandware.static/-/Sites-pandora-master-catalog/default/dwbb259ca6/productimages/singlepackshot/",LEFT(A1363,FIND("-",A1363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4" spans="1:4" x14ac:dyDescent="0.25">
      <c r="A1364" s="3" t="s">
        <v>1366</v>
      </c>
      <c r="B1364" s="4">
        <v>69</v>
      </c>
      <c r="C1364" s="3" t="str">
        <f ca="1">IFERROR(ROWSDUMMYFUNCTION(IF(A1364="","",IFERROR(IMAGE(CONCATENATE("https://us.pandora.net/on/demandware.static/-/Sites-pandora-master-catalog/default/dwbb259ca6/productimages/singlepackshot/",LEFT(A1364,FIND("-",A1364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64" s="5" t="str">
        <f ca="1">IFERROR(ROWSDUMMYFUNCTION(IF(A1364="","",CONCATENATE("https://us.pandora.net/on/demandware.static/-/Sites-pandora-master-catalog/default/dwbb259ca6/productimages/singlepackshot/",LEFT(A1364,FIND("-",A1364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5" spans="1:4" x14ac:dyDescent="0.25">
      <c r="A1365" s="3" t="s">
        <v>1367</v>
      </c>
      <c r="B1365" s="4">
        <v>69</v>
      </c>
      <c r="C1365" s="3" t="str">
        <f ca="1">IFERROR(ROWSDUMMYFUNCTION(IF(A1365="","",IFERROR(IMAGE(CONCATENATE("https://us.pandora.net/on/demandware.static/-/Sites-pandora-master-catalog/default/dwbb259ca6/productimages/singlepackshot/",LEFT(A1365,FIND("-",A1365&amp;"-")-1),"_RGB.png")),""))),"{""url"":""https://us.pandora.net/on/demandware.static/-/Sites-pandora-master-catalog/default/dwbb259ca6/productimages/singlepackshot/193510C01_RGB.png"",""mode"":1}")</f>
        <v>{"url":"https://us.pandora.net/on/demandware.static/-/Sites-pandora-master-catalog/default/dwbb259ca6/productimages/singlepackshot/193510C01_RGB.png","mode":1}</v>
      </c>
      <c r="D1365" s="5" t="str">
        <f ca="1">IFERROR(ROWSDUMMYFUNCTION(IF(A1365="","",CONCATENATE("https://us.pandora.net/on/demandware.static/-/Sites-pandora-master-catalog/default/dwbb259ca6/productimages/singlepackshot/",LEFT(A1365,FIND("-",A1365&amp;"-")-1),"_RGB.png"))),"https://us.pandora.net/on/demandware.static/-/Sites-pandora-master-catalog/default/dwbb259ca6/productimages/singlepackshot/193510C01_RGB.png")</f>
        <v>https://us.pandora.net/on/demandware.static/-/Sites-pandora-master-catalog/default/dwbb259ca6/productimages/singlepackshot/193510C01_RGB.png</v>
      </c>
    </row>
    <row r="1366" spans="1:4" x14ac:dyDescent="0.25">
      <c r="A1366" s="3" t="s">
        <v>1368</v>
      </c>
      <c r="B1366" s="4">
        <v>69</v>
      </c>
      <c r="C1366" s="3" t="str">
        <f ca="1">IFERROR(ROWSDUMMYFUNCTION(IF(A1366="","",IFERROR(IMAGE(CONCATENATE("https://us.pandora.net/on/demandware.static/-/Sites-pandora-master-catalog/default/dwbb259ca6/productimages/singlepackshot/",LEFT(A1366,FIND("-",A1366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66" s="5" t="str">
        <f ca="1">IFERROR(ROWSDUMMYFUNCTION(IF(A1366="","",CONCATENATE("https://us.pandora.net/on/demandware.static/-/Sites-pandora-master-catalog/default/dwbb259ca6/productimages/singlepackshot/",LEFT(A1366,FIND("-",A1366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67" spans="1:4" x14ac:dyDescent="0.25">
      <c r="A1367" s="3" t="s">
        <v>1369</v>
      </c>
      <c r="B1367" s="4">
        <v>69</v>
      </c>
      <c r="C1367" s="3" t="str">
        <f ca="1">IFERROR(ROWSDUMMYFUNCTION(IF(A1367="","",IFERROR(IMAGE(CONCATENATE("https://us.pandora.net/on/demandware.static/-/Sites-pandora-master-catalog/default/dwbb259ca6/productimages/singlepackshot/",LEFT(A1367,FIND("-",A1367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67" s="5" t="str">
        <f ca="1">IFERROR(ROWSDUMMYFUNCTION(IF(A1367="","",CONCATENATE("https://us.pandora.net/on/demandware.static/-/Sites-pandora-master-catalog/default/dwbb259ca6/productimages/singlepackshot/",LEFT(A1367,FIND("-",A1367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68" spans="1:4" x14ac:dyDescent="0.25">
      <c r="A1368" s="3" t="s">
        <v>1370</v>
      </c>
      <c r="B1368" s="4">
        <v>69</v>
      </c>
      <c r="C1368" s="3" t="str">
        <f ca="1">IFERROR(ROWSDUMMYFUNCTION(IF(A1368="","",IFERROR(IMAGE(CONCATENATE("https://us.pandora.net/on/demandware.static/-/Sites-pandora-master-catalog/default/dwbb259ca6/productimages/singlepackshot/",LEFT(A1368,FIND("-",A1368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68" s="5" t="str">
        <f ca="1">IFERROR(ROWSDUMMYFUNCTION(IF(A1368="","",CONCATENATE("https://us.pandora.net/on/demandware.static/-/Sites-pandora-master-catalog/default/dwbb259ca6/productimages/singlepackshot/",LEFT(A1368,FIND("-",A1368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69" spans="1:4" x14ac:dyDescent="0.25">
      <c r="A1369" s="3" t="s">
        <v>1371</v>
      </c>
      <c r="B1369" s="4">
        <v>69</v>
      </c>
      <c r="C1369" s="3" t="str">
        <f ca="1">IFERROR(ROWSDUMMYFUNCTION(IF(A1369="","",IFERROR(IMAGE(CONCATENATE("https://us.pandora.net/on/demandware.static/-/Sites-pandora-master-catalog/default/dwbb259ca6/productimages/singlepackshot/",LEFT(A1369,FIND("-",A1369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69" s="5" t="str">
        <f ca="1">IFERROR(ROWSDUMMYFUNCTION(IF(A1369="","",CONCATENATE("https://us.pandora.net/on/demandware.static/-/Sites-pandora-master-catalog/default/dwbb259ca6/productimages/singlepackshot/",LEFT(A1369,FIND("-",A1369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70" spans="1:4" x14ac:dyDescent="0.25">
      <c r="A1370" s="3" t="s">
        <v>1372</v>
      </c>
      <c r="B1370" s="4">
        <v>69</v>
      </c>
      <c r="C1370" s="3" t="str">
        <f ca="1">IFERROR(ROWSDUMMYFUNCTION(IF(A1370="","",IFERROR(IMAGE(CONCATENATE("https://us.pandora.net/on/demandware.static/-/Sites-pandora-master-catalog/default/dwbb259ca6/productimages/singlepackshot/",LEFT(A1370,FIND("-",A1370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70" s="5" t="str">
        <f ca="1">IFERROR(ROWSDUMMYFUNCTION(IF(A1370="","",CONCATENATE("https://us.pandora.net/on/demandware.static/-/Sites-pandora-master-catalog/default/dwbb259ca6/productimages/singlepackshot/",LEFT(A1370,FIND("-",A1370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71" spans="1:4" x14ac:dyDescent="0.25">
      <c r="A1371" s="3" t="s">
        <v>1373</v>
      </c>
      <c r="B1371" s="4">
        <v>69</v>
      </c>
      <c r="C1371" s="3" t="str">
        <f ca="1">IFERROR(ROWSDUMMYFUNCTION(IF(A1371="","",IFERROR(IMAGE(CONCATENATE("https://us.pandora.net/on/demandware.static/-/Sites-pandora-master-catalog/default/dwbb259ca6/productimages/singlepackshot/",LEFT(A1371,FIND("-",A1371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71" s="5" t="str">
        <f ca="1">IFERROR(ROWSDUMMYFUNCTION(IF(A1371="","",CONCATENATE("https://us.pandora.net/on/demandware.static/-/Sites-pandora-master-catalog/default/dwbb259ca6/productimages/singlepackshot/",LEFT(A1371,FIND("-",A1371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72" spans="1:4" x14ac:dyDescent="0.25">
      <c r="A1372" s="3" t="s">
        <v>1374</v>
      </c>
      <c r="B1372" s="4">
        <v>69</v>
      </c>
      <c r="C1372" s="3" t="str">
        <f ca="1">IFERROR(ROWSDUMMYFUNCTION(IF(A1372="","",IFERROR(IMAGE(CONCATENATE("https://us.pandora.net/on/demandware.static/-/Sites-pandora-master-catalog/default/dwbb259ca6/productimages/singlepackshot/",LEFT(A1372,FIND("-",A1372&amp;"-")-1),"_RGB.png")),""))),"{""url"":""https://us.pandora.net/on/demandware.static/-/Sites-pandora-master-catalog/default/dwbb259ca6/productimages/singlepackshot/193510C02_RGB.png"",""mode"":1}")</f>
        <v>{"url":"https://us.pandora.net/on/demandware.static/-/Sites-pandora-master-catalog/default/dwbb259ca6/productimages/singlepackshot/193510C02_RGB.png","mode":1}</v>
      </c>
      <c r="D1372" s="5" t="str">
        <f ca="1">IFERROR(ROWSDUMMYFUNCTION(IF(A1372="","",CONCATENATE("https://us.pandora.net/on/demandware.static/-/Sites-pandora-master-catalog/default/dwbb259ca6/productimages/singlepackshot/",LEFT(A1372,FIND("-",A1372&amp;"-")-1),"_RGB.png"))),"https://us.pandora.net/on/demandware.static/-/Sites-pandora-master-catalog/default/dwbb259ca6/productimages/singlepackshot/193510C02_RGB.png")</f>
        <v>https://us.pandora.net/on/demandware.static/-/Sites-pandora-master-catalog/default/dwbb259ca6/productimages/singlepackshot/193510C02_RGB.png</v>
      </c>
    </row>
    <row r="1373" spans="1:4" x14ac:dyDescent="0.25">
      <c r="A1373" s="3" t="s">
        <v>1375</v>
      </c>
      <c r="B1373" s="4">
        <v>69</v>
      </c>
      <c r="C1373" s="3" t="str">
        <f ca="1">IFERROR(ROWSDUMMYFUNCTION(IF(A1373="","",IFERROR(IMAGE(CONCATENATE("https://us.pandora.net/on/demandware.static/-/Sites-pandora-master-catalog/default/dwbb259ca6/productimages/singlepackshot/",LEFT(A1373,FIND("-",A1373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3" s="5" t="str">
        <f ca="1">IFERROR(ROWSDUMMYFUNCTION(IF(A1373="","",CONCATENATE("https://us.pandora.net/on/demandware.static/-/Sites-pandora-master-catalog/default/dwbb259ca6/productimages/singlepackshot/",LEFT(A1373,FIND("-",A1373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74" spans="1:4" x14ac:dyDescent="0.25">
      <c r="A1374" s="3" t="s">
        <v>1376</v>
      </c>
      <c r="B1374" s="4">
        <v>69</v>
      </c>
      <c r="C1374" s="3" t="str">
        <f ca="1">IFERROR(ROWSDUMMYFUNCTION(IF(A1374="","",IFERROR(IMAGE(CONCATENATE("https://us.pandora.net/on/demandware.static/-/Sites-pandora-master-catalog/default/dwbb259ca6/productimages/singlepackshot/",LEFT(A1374,FIND("-",A1374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4" s="5" t="str">
        <f ca="1">IFERROR(ROWSDUMMYFUNCTION(IF(A1374="","",CONCATENATE("https://us.pandora.net/on/demandware.static/-/Sites-pandora-master-catalog/default/dwbb259ca6/productimages/singlepackshot/",LEFT(A1374,FIND("-",A1374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75" spans="1:4" x14ac:dyDescent="0.25">
      <c r="A1375" s="3" t="s">
        <v>1377</v>
      </c>
      <c r="B1375" s="4">
        <v>69</v>
      </c>
      <c r="C1375" s="3" t="str">
        <f ca="1">IFERROR(ROWSDUMMYFUNCTION(IF(A1375="","",IFERROR(IMAGE(CONCATENATE("https://us.pandora.net/on/demandware.static/-/Sites-pandora-master-catalog/default/dwbb259ca6/productimages/singlepackshot/",LEFT(A1375,FIND("-",A1375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5" s="5" t="str">
        <f ca="1">IFERROR(ROWSDUMMYFUNCTION(IF(A1375="","",CONCATENATE("https://us.pandora.net/on/demandware.static/-/Sites-pandora-master-catalog/default/dwbb259ca6/productimages/singlepackshot/",LEFT(A1375,FIND("-",A1375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76" spans="1:4" x14ac:dyDescent="0.25">
      <c r="A1376" s="3" t="s">
        <v>1378</v>
      </c>
      <c r="B1376" s="4">
        <v>69</v>
      </c>
      <c r="C1376" s="3" t="str">
        <f ca="1">IFERROR(ROWSDUMMYFUNCTION(IF(A1376="","",IFERROR(IMAGE(CONCATENATE("https://us.pandora.net/on/demandware.static/-/Sites-pandora-master-catalog/default/dwbb259ca6/productimages/singlepackshot/",LEFT(A1376,FIND("-",A1376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6" s="5" t="str">
        <f ca="1">IFERROR(ROWSDUMMYFUNCTION(IF(A1376="","",CONCATENATE("https://us.pandora.net/on/demandware.static/-/Sites-pandora-master-catalog/default/dwbb259ca6/productimages/singlepackshot/",LEFT(A1376,FIND("-",A1376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77" spans="1:4" x14ac:dyDescent="0.25">
      <c r="A1377" s="3" t="s">
        <v>1379</v>
      </c>
      <c r="B1377" s="4">
        <v>69</v>
      </c>
      <c r="C1377" s="3" t="str">
        <f ca="1">IFERROR(ROWSDUMMYFUNCTION(IF(A1377="","",IFERROR(IMAGE(CONCATENATE("https://us.pandora.net/on/demandware.static/-/Sites-pandora-master-catalog/default/dwbb259ca6/productimages/singlepackshot/",LEFT(A1377,FIND("-",A1377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7" s="5" t="str">
        <f ca="1">IFERROR(ROWSDUMMYFUNCTION(IF(A1377="","",CONCATENATE("https://us.pandora.net/on/demandware.static/-/Sites-pandora-master-catalog/default/dwbb259ca6/productimages/singlepackshot/",LEFT(A1377,FIND("-",A1377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78" spans="1:4" x14ac:dyDescent="0.25">
      <c r="A1378" s="3" t="s">
        <v>1380</v>
      </c>
      <c r="B1378" s="4">
        <v>69</v>
      </c>
      <c r="C1378" s="3" t="str">
        <f ca="1">IFERROR(ROWSDUMMYFUNCTION(IF(A1378="","",IFERROR(IMAGE(CONCATENATE("https://us.pandora.net/on/demandware.static/-/Sites-pandora-master-catalog/default/dwbb259ca6/productimages/singlepackshot/",LEFT(A1378,FIND("-",A1378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8" s="5" t="str">
        <f ca="1">IFERROR(ROWSDUMMYFUNCTION(IF(A1378="","",CONCATENATE("https://us.pandora.net/on/demandware.static/-/Sites-pandora-master-catalog/default/dwbb259ca6/productimages/singlepackshot/",LEFT(A1378,FIND("-",A1378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79" spans="1:4" x14ac:dyDescent="0.25">
      <c r="A1379" s="3" t="s">
        <v>1381</v>
      </c>
      <c r="B1379" s="4">
        <v>69</v>
      </c>
      <c r="C1379" s="3" t="str">
        <f ca="1">IFERROR(ROWSDUMMYFUNCTION(IF(A1379="","",IFERROR(IMAGE(CONCATENATE("https://us.pandora.net/on/demandware.static/-/Sites-pandora-master-catalog/default/dwbb259ca6/productimages/singlepackshot/",LEFT(A1379,FIND("-",A1379&amp;"-")-1),"_RGB.png")),""))),"{""url"":""https://us.pandora.net/on/demandware.static/-/Sites-pandora-master-catalog/default/dwbb259ca6/productimages/singlepackshot/193510C03_RGB.png"",""mode"":1}")</f>
        <v>{"url":"https://us.pandora.net/on/demandware.static/-/Sites-pandora-master-catalog/default/dwbb259ca6/productimages/singlepackshot/193510C03_RGB.png","mode":1}</v>
      </c>
      <c r="D1379" s="5" t="str">
        <f ca="1">IFERROR(ROWSDUMMYFUNCTION(IF(A1379="","",CONCATENATE("https://us.pandora.net/on/demandware.static/-/Sites-pandora-master-catalog/default/dwbb259ca6/productimages/singlepackshot/",LEFT(A1379,FIND("-",A1379&amp;"-")-1),"_RGB.png"))),"https://us.pandora.net/on/demandware.static/-/Sites-pandora-master-catalog/default/dwbb259ca6/productimages/singlepackshot/193510C03_RGB.png")</f>
        <v>https://us.pandora.net/on/demandware.static/-/Sites-pandora-master-catalog/default/dwbb259ca6/productimages/singlepackshot/193510C03_RGB.png</v>
      </c>
    </row>
    <row r="1380" spans="1:4" x14ac:dyDescent="0.25">
      <c r="A1380" s="3" t="s">
        <v>1382</v>
      </c>
      <c r="B1380" s="4">
        <v>89</v>
      </c>
      <c r="C1380" s="3" t="str">
        <f ca="1">IFERROR(ROWSDUMMYFUNCTION(IF(A1380="","",IFERROR(IMAGE(CONCATENATE("https://us.pandora.net/on/demandware.static/-/Sites-pandora-master-catalog/default/dwbb259ca6/productimages/singlepackshot/",LEFT(A1380,FIND("-",A1380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0" s="5" t="str">
        <f ca="1">IFERROR(ROWSDUMMYFUNCTION(IF(A1380="","",CONCATENATE("https://us.pandora.net/on/demandware.static/-/Sites-pandora-master-catalog/default/dwbb259ca6/productimages/singlepackshot/",LEFT(A1380,FIND("-",A1380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1" spans="1:4" x14ac:dyDescent="0.25">
      <c r="A1381" s="3" t="s">
        <v>1383</v>
      </c>
      <c r="B1381" s="4">
        <v>89</v>
      </c>
      <c r="C1381" s="3" t="str">
        <f ca="1">IFERROR(ROWSDUMMYFUNCTION(IF(A1381="","",IFERROR(IMAGE(CONCATENATE("https://us.pandora.net/on/demandware.static/-/Sites-pandora-master-catalog/default/dwbb259ca6/productimages/singlepackshot/",LEFT(A1381,FIND("-",A1381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1" s="5" t="str">
        <f ca="1">IFERROR(ROWSDUMMYFUNCTION(IF(A1381="","",CONCATENATE("https://us.pandora.net/on/demandware.static/-/Sites-pandora-master-catalog/default/dwbb259ca6/productimages/singlepackshot/",LEFT(A1381,FIND("-",A1381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2" spans="1:4" x14ac:dyDescent="0.25">
      <c r="A1382" s="3" t="s">
        <v>1384</v>
      </c>
      <c r="B1382" s="4">
        <v>89</v>
      </c>
      <c r="C1382" s="3" t="str">
        <f ca="1">IFERROR(ROWSDUMMYFUNCTION(IF(A1382="","",IFERROR(IMAGE(CONCATENATE("https://us.pandora.net/on/demandware.static/-/Sites-pandora-master-catalog/default/dwbb259ca6/productimages/singlepackshot/",LEFT(A1382,FIND("-",A1382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2" s="5" t="str">
        <f ca="1">IFERROR(ROWSDUMMYFUNCTION(IF(A1382="","",CONCATENATE("https://us.pandora.net/on/demandware.static/-/Sites-pandora-master-catalog/default/dwbb259ca6/productimages/singlepackshot/",LEFT(A1382,FIND("-",A1382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3" spans="1:4" x14ac:dyDescent="0.25">
      <c r="A1383" s="3" t="s">
        <v>1385</v>
      </c>
      <c r="B1383" s="4">
        <v>89</v>
      </c>
      <c r="C1383" s="3" t="str">
        <f ca="1">IFERROR(ROWSDUMMYFUNCTION(IF(A1383="","",IFERROR(IMAGE(CONCATENATE("https://us.pandora.net/on/demandware.static/-/Sites-pandora-master-catalog/default/dwbb259ca6/productimages/singlepackshot/",LEFT(A1383,FIND("-",A1383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3" s="5" t="str">
        <f ca="1">IFERROR(ROWSDUMMYFUNCTION(IF(A1383="","",CONCATENATE("https://us.pandora.net/on/demandware.static/-/Sites-pandora-master-catalog/default/dwbb259ca6/productimages/singlepackshot/",LEFT(A1383,FIND("-",A1383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4" spans="1:4" x14ac:dyDescent="0.25">
      <c r="A1384" s="3" t="s">
        <v>1386</v>
      </c>
      <c r="B1384" s="4">
        <v>89</v>
      </c>
      <c r="C1384" s="3" t="str">
        <f ca="1">IFERROR(ROWSDUMMYFUNCTION(IF(A1384="","",IFERROR(IMAGE(CONCATENATE("https://us.pandora.net/on/demandware.static/-/Sites-pandora-master-catalog/default/dwbb259ca6/productimages/singlepackshot/",LEFT(A1384,FIND("-",A1384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4" s="5" t="str">
        <f ca="1">IFERROR(ROWSDUMMYFUNCTION(IF(A1384="","",CONCATENATE("https://us.pandora.net/on/demandware.static/-/Sites-pandora-master-catalog/default/dwbb259ca6/productimages/singlepackshot/",LEFT(A1384,FIND("-",A1384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5" spans="1:4" x14ac:dyDescent="0.25">
      <c r="A1385" s="3" t="s">
        <v>1387</v>
      </c>
      <c r="B1385" s="4">
        <v>89</v>
      </c>
      <c r="C1385" s="3" t="str">
        <f ca="1">IFERROR(ROWSDUMMYFUNCTION(IF(A1385="","",IFERROR(IMAGE(CONCATENATE("https://us.pandora.net/on/demandware.static/-/Sites-pandora-master-catalog/default/dwbb259ca6/productimages/singlepackshot/",LEFT(A1385,FIND("-",A1385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5" s="5" t="str">
        <f ca="1">IFERROR(ROWSDUMMYFUNCTION(IF(A1385="","",CONCATENATE("https://us.pandora.net/on/demandware.static/-/Sites-pandora-master-catalog/default/dwbb259ca6/productimages/singlepackshot/",LEFT(A1385,FIND("-",A1385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6" spans="1:4" x14ac:dyDescent="0.25">
      <c r="A1386" s="3" t="s">
        <v>1388</v>
      </c>
      <c r="B1386" s="4">
        <v>89</v>
      </c>
      <c r="C1386" s="3" t="str">
        <f ca="1">IFERROR(ROWSDUMMYFUNCTION(IF(A1386="","",IFERROR(IMAGE(CONCATENATE("https://us.pandora.net/on/demandware.static/-/Sites-pandora-master-catalog/default/dwbb259ca6/productimages/singlepackshot/",LEFT(A1386,FIND("-",A1386&amp;"-")-1),"_RGB.png")),""))),"{""url"":""https://us.pandora.net/on/demandware.static/-/Sites-pandora-master-catalog/default/dwbb259ca6/productimages/singlepackshot/193550C01_RGB.png"",""mode"":1}")</f>
        <v>{"url":"https://us.pandora.net/on/demandware.static/-/Sites-pandora-master-catalog/default/dwbb259ca6/productimages/singlepackshot/193550C01_RGB.png","mode":1}</v>
      </c>
      <c r="D1386" s="5" t="str">
        <f ca="1">IFERROR(ROWSDUMMYFUNCTION(IF(A1386="","",CONCATENATE("https://us.pandora.net/on/demandware.static/-/Sites-pandora-master-catalog/default/dwbb259ca6/productimages/singlepackshot/",LEFT(A1386,FIND("-",A1386&amp;"-")-1),"_RGB.png"))),"https://us.pandora.net/on/demandware.static/-/Sites-pandora-master-catalog/default/dwbb259ca6/productimages/singlepackshot/193550C01_RGB.png")</f>
        <v>https://us.pandora.net/on/demandware.static/-/Sites-pandora-master-catalog/default/dwbb259ca6/productimages/singlepackshot/193550C01_RGB.png</v>
      </c>
    </row>
    <row r="1387" spans="1:4" x14ac:dyDescent="0.25">
      <c r="A1387" s="3" t="s">
        <v>1389</v>
      </c>
      <c r="B1387" s="4">
        <v>79</v>
      </c>
      <c r="C1387" s="3" t="str">
        <f ca="1">IFERROR(ROWSDUMMYFUNCTION(IF(A1387="","",IFERROR(IMAGE(CONCATENATE("https://us.pandora.net/on/demandware.static/-/Sites-pandora-master-catalog/default/dwbb259ca6/productimages/singlepackshot/",LEFT(A1387,FIND("-",A1387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87" s="5" t="str">
        <f ca="1">IFERROR(ROWSDUMMYFUNCTION(IF(A1387="","",CONCATENATE("https://us.pandora.net/on/demandware.static/-/Sites-pandora-master-catalog/default/dwbb259ca6/productimages/singlepackshot/",LEFT(A1387,FIND("-",A1387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88" spans="1:4" x14ac:dyDescent="0.25">
      <c r="A1388" s="3" t="s">
        <v>1390</v>
      </c>
      <c r="B1388" s="4">
        <v>79</v>
      </c>
      <c r="C1388" s="3" t="str">
        <f ca="1">IFERROR(ROWSDUMMYFUNCTION(IF(A1388="","",IFERROR(IMAGE(CONCATENATE("https://us.pandora.net/on/demandware.static/-/Sites-pandora-master-catalog/default/dwbb259ca6/productimages/singlepackshot/",LEFT(A1388,FIND("-",A1388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88" s="5" t="str">
        <f ca="1">IFERROR(ROWSDUMMYFUNCTION(IF(A1388="","",CONCATENATE("https://us.pandora.net/on/demandware.static/-/Sites-pandora-master-catalog/default/dwbb259ca6/productimages/singlepackshot/",LEFT(A1388,FIND("-",A1388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89" spans="1:4" x14ac:dyDescent="0.25">
      <c r="A1389" s="3" t="s">
        <v>1391</v>
      </c>
      <c r="B1389" s="4">
        <v>79</v>
      </c>
      <c r="C1389" s="3" t="str">
        <f ca="1">IFERROR(ROWSDUMMYFUNCTION(IF(A1389="","",IFERROR(IMAGE(CONCATENATE("https://us.pandora.net/on/demandware.static/-/Sites-pandora-master-catalog/default/dwbb259ca6/productimages/singlepackshot/",LEFT(A1389,FIND("-",A1389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89" s="5" t="str">
        <f ca="1">IFERROR(ROWSDUMMYFUNCTION(IF(A1389="","",CONCATENATE("https://us.pandora.net/on/demandware.static/-/Sites-pandora-master-catalog/default/dwbb259ca6/productimages/singlepackshot/",LEFT(A1389,FIND("-",A1389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90" spans="1:4" x14ac:dyDescent="0.25">
      <c r="A1390" s="3" t="s">
        <v>1392</v>
      </c>
      <c r="B1390" s="4">
        <v>79</v>
      </c>
      <c r="C1390" s="3" t="str">
        <f ca="1">IFERROR(ROWSDUMMYFUNCTION(IF(A1390="","",IFERROR(IMAGE(CONCATENATE("https://us.pandora.net/on/demandware.static/-/Sites-pandora-master-catalog/default/dwbb259ca6/productimages/singlepackshot/",LEFT(A1390,FIND("-",A1390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90" s="5" t="str">
        <f ca="1">IFERROR(ROWSDUMMYFUNCTION(IF(A1390="","",CONCATENATE("https://us.pandora.net/on/demandware.static/-/Sites-pandora-master-catalog/default/dwbb259ca6/productimages/singlepackshot/",LEFT(A1390,FIND("-",A1390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91" spans="1:4" x14ac:dyDescent="0.25">
      <c r="A1391" s="3" t="s">
        <v>1393</v>
      </c>
      <c r="B1391" s="4">
        <v>79</v>
      </c>
      <c r="C1391" s="3" t="str">
        <f ca="1">IFERROR(ROWSDUMMYFUNCTION(IF(A1391="","",IFERROR(IMAGE(CONCATENATE("https://us.pandora.net/on/demandware.static/-/Sites-pandora-master-catalog/default/dwbb259ca6/productimages/singlepackshot/",LEFT(A1391,FIND("-",A1391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91" s="5" t="str">
        <f ca="1">IFERROR(ROWSDUMMYFUNCTION(IF(A1391="","",CONCATENATE("https://us.pandora.net/on/demandware.static/-/Sites-pandora-master-catalog/default/dwbb259ca6/productimages/singlepackshot/",LEFT(A1391,FIND("-",A1391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92" spans="1:4" x14ac:dyDescent="0.25">
      <c r="A1392" s="3" t="s">
        <v>1394</v>
      </c>
      <c r="B1392" s="4">
        <v>79</v>
      </c>
      <c r="C1392" s="3" t="str">
        <f ca="1">IFERROR(ROWSDUMMYFUNCTION(IF(A1392="","",IFERROR(IMAGE(CONCATENATE("https://us.pandora.net/on/demandware.static/-/Sites-pandora-master-catalog/default/dwbb259ca6/productimages/singlepackshot/",LEFT(A1392,FIND("-",A1392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92" s="5" t="str">
        <f ca="1">IFERROR(ROWSDUMMYFUNCTION(IF(A1392="","",CONCATENATE("https://us.pandora.net/on/demandware.static/-/Sites-pandora-master-catalog/default/dwbb259ca6/productimages/singlepackshot/",LEFT(A1392,FIND("-",A1392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93" spans="1:4" x14ac:dyDescent="0.25">
      <c r="A1393" s="3" t="s">
        <v>1395</v>
      </c>
      <c r="B1393" s="4">
        <v>79</v>
      </c>
      <c r="C1393" s="3" t="str">
        <f ca="1">IFERROR(ROWSDUMMYFUNCTION(IF(A1393="","",IFERROR(IMAGE(CONCATENATE("https://us.pandora.net/on/demandware.static/-/Sites-pandora-master-catalog/default/dwbb259ca6/productimages/singlepackshot/",LEFT(A1393,FIND("-",A1393&amp;"-")-1),"_RGB.png")),""))),"{""url"":""https://us.pandora.net/on/demandware.static/-/Sites-pandora-master-catalog/default/dwbb259ca6/productimages/singlepackshot/193552C01_RGB.png"",""mode"":1}")</f>
        <v>{"url":"https://us.pandora.net/on/demandware.static/-/Sites-pandora-master-catalog/default/dwbb259ca6/productimages/singlepackshot/193552C01_RGB.png","mode":1}</v>
      </c>
      <c r="D1393" s="5" t="str">
        <f ca="1">IFERROR(ROWSDUMMYFUNCTION(IF(A1393="","",CONCATENATE("https://us.pandora.net/on/demandware.static/-/Sites-pandora-master-catalog/default/dwbb259ca6/productimages/singlepackshot/",LEFT(A1393,FIND("-",A1393&amp;"-")-1),"_RGB.png"))),"https://us.pandora.net/on/demandware.static/-/Sites-pandora-master-catalog/default/dwbb259ca6/productimages/singlepackshot/193552C01_RGB.png")</f>
        <v>https://us.pandora.net/on/demandware.static/-/Sites-pandora-master-catalog/default/dwbb259ca6/productimages/singlepackshot/193552C01_RGB.png</v>
      </c>
    </row>
    <row r="1394" spans="1:4" x14ac:dyDescent="0.25">
      <c r="A1394" s="3" t="s">
        <v>1396</v>
      </c>
      <c r="B1394" s="4">
        <v>119</v>
      </c>
      <c r="C1394" s="3" t="str">
        <f ca="1">IFERROR(ROWSDUMMYFUNCTION(IF(A1394="","",IFERROR(IMAGE(CONCATENATE("https://us.pandora.net/on/demandware.static/-/Sites-pandora-master-catalog/default/dwbb259ca6/productimages/singlepackshot/",LEFT(A1394,FIND("-",A1394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394" s="5" t="str">
        <f ca="1">IFERROR(ROWSDUMMYFUNCTION(IF(A1394="","",CONCATENATE("https://us.pandora.net/on/demandware.static/-/Sites-pandora-master-catalog/default/dwbb259ca6/productimages/singlepackshot/",LEFT(A1394,FIND("-",A1394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395" spans="1:4" x14ac:dyDescent="0.25">
      <c r="A1395" s="3" t="s">
        <v>1397</v>
      </c>
      <c r="B1395" s="4">
        <v>119</v>
      </c>
      <c r="C1395" s="3" t="str">
        <f ca="1">IFERROR(ROWSDUMMYFUNCTION(IF(A1395="","",IFERROR(IMAGE(CONCATENATE("https://us.pandora.net/on/demandware.static/-/Sites-pandora-master-catalog/default/dwbb259ca6/productimages/singlepackshot/",LEFT(A1395,FIND("-",A1395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395" s="5" t="str">
        <f ca="1">IFERROR(ROWSDUMMYFUNCTION(IF(A1395="","",CONCATENATE("https://us.pandora.net/on/demandware.static/-/Sites-pandora-master-catalog/default/dwbb259ca6/productimages/singlepackshot/",LEFT(A1395,FIND("-",A1395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396" spans="1:4" x14ac:dyDescent="0.25">
      <c r="A1396" s="3" t="s">
        <v>1398</v>
      </c>
      <c r="B1396" s="4">
        <v>119</v>
      </c>
      <c r="C1396" s="3" t="str">
        <f ca="1">IFERROR(ROWSDUMMYFUNCTION(IF(A1396="","",IFERROR(IMAGE(CONCATENATE("https://us.pandora.net/on/demandware.static/-/Sites-pandora-master-catalog/default/dwbb259ca6/productimages/singlepackshot/",LEFT(A1396,FIND("-",A1396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396" s="5" t="str">
        <f ca="1">IFERROR(ROWSDUMMYFUNCTION(IF(A1396="","",CONCATENATE("https://us.pandora.net/on/demandware.static/-/Sites-pandora-master-catalog/default/dwbb259ca6/productimages/singlepackshot/",LEFT(A1396,FIND("-",A1396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397" spans="1:4" x14ac:dyDescent="0.25">
      <c r="A1397" s="3" t="s">
        <v>1399</v>
      </c>
      <c r="B1397" s="4">
        <v>119</v>
      </c>
      <c r="C1397" s="3" t="str">
        <f ca="1">IFERROR(ROWSDUMMYFUNCTION(IF(A1397="","",IFERROR(IMAGE(CONCATENATE("https://us.pandora.net/on/demandware.static/-/Sites-pandora-master-catalog/default/dwbb259ca6/productimages/singlepackshot/",LEFT(A1397,FIND("-",A1397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397" s="5" t="str">
        <f ca="1">IFERROR(ROWSDUMMYFUNCTION(IF(A1397="","",CONCATENATE("https://us.pandora.net/on/demandware.static/-/Sites-pandora-master-catalog/default/dwbb259ca6/productimages/singlepackshot/",LEFT(A1397,FIND("-",A1397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398" spans="1:4" x14ac:dyDescent="0.25">
      <c r="A1398" s="3" t="s">
        <v>1400</v>
      </c>
      <c r="B1398" s="4">
        <v>119</v>
      </c>
      <c r="C1398" s="3" t="str">
        <f ca="1">IFERROR(ROWSDUMMYFUNCTION(IF(A1398="","",IFERROR(IMAGE(CONCATENATE("https://us.pandora.net/on/demandware.static/-/Sites-pandora-master-catalog/default/dwbb259ca6/productimages/singlepackshot/",LEFT(A1398,FIND("-",A1398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398" s="5" t="str">
        <f ca="1">IFERROR(ROWSDUMMYFUNCTION(IF(A1398="","",CONCATENATE("https://us.pandora.net/on/demandware.static/-/Sites-pandora-master-catalog/default/dwbb259ca6/productimages/singlepackshot/",LEFT(A1398,FIND("-",A1398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399" spans="1:4" x14ac:dyDescent="0.25">
      <c r="A1399" s="3" t="s">
        <v>1401</v>
      </c>
      <c r="B1399" s="4">
        <v>119</v>
      </c>
      <c r="C1399" s="3" t="str">
        <f ca="1">IFERROR(ROWSDUMMYFUNCTION(IF(A1399="","",IFERROR(IMAGE(CONCATENATE("https://us.pandora.net/on/demandware.static/-/Sites-pandora-master-catalog/default/dwbb259ca6/productimages/singlepackshot/",LEFT(A1399,FIND("-",A1399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399" s="5" t="str">
        <f ca="1">IFERROR(ROWSDUMMYFUNCTION(IF(A1399="","",CONCATENATE("https://us.pandora.net/on/demandware.static/-/Sites-pandora-master-catalog/default/dwbb259ca6/productimages/singlepackshot/",LEFT(A1399,FIND("-",A1399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400" spans="1:4" x14ac:dyDescent="0.25">
      <c r="A1400" s="3" t="s">
        <v>1402</v>
      </c>
      <c r="B1400" s="4">
        <v>119</v>
      </c>
      <c r="C1400" s="3" t="str">
        <f ca="1">IFERROR(ROWSDUMMYFUNCTION(IF(A1400="","",IFERROR(IMAGE(CONCATENATE("https://us.pandora.net/on/demandware.static/-/Sites-pandora-master-catalog/default/dwbb259ca6/productimages/singlepackshot/",LEFT(A1400,FIND("-",A1400&amp;"-")-1),"_RGB.png")),""))),"{""url"":""https://us.pandora.net/on/demandware.static/-/Sites-pandora-master-catalog/default/dwbb259ca6/productimages/singlepackshot/193553C01_RGB.png"",""mode"":1}")</f>
        <v>{"url":"https://us.pandora.net/on/demandware.static/-/Sites-pandora-master-catalog/default/dwbb259ca6/productimages/singlepackshot/193553C01_RGB.png","mode":1}</v>
      </c>
      <c r="D1400" s="5" t="str">
        <f ca="1">IFERROR(ROWSDUMMYFUNCTION(IF(A1400="","",CONCATENATE("https://us.pandora.net/on/demandware.static/-/Sites-pandora-master-catalog/default/dwbb259ca6/productimages/singlepackshot/",LEFT(A1400,FIND("-",A1400&amp;"-")-1),"_RGB.png"))),"https://us.pandora.net/on/demandware.static/-/Sites-pandora-master-catalog/default/dwbb259ca6/productimages/singlepackshot/193553C01_RGB.png")</f>
        <v>https://us.pandora.net/on/demandware.static/-/Sites-pandora-master-catalog/default/dwbb259ca6/productimages/singlepackshot/193553C01_RGB.png</v>
      </c>
    </row>
    <row r="1401" spans="1:4" x14ac:dyDescent="0.25">
      <c r="A1401" s="3" t="s">
        <v>1403</v>
      </c>
      <c r="B1401" s="4">
        <v>79</v>
      </c>
      <c r="C1401" s="3" t="str">
        <f ca="1">IFERROR(ROWSDUMMYFUNCTION(IF(A1401="","",IFERROR(IMAGE(CONCATENATE("https://us.pandora.net/on/demandware.static/-/Sites-pandora-master-catalog/default/dwbb259ca6/productimages/singlepackshot/",LEFT(A1401,FIND("-",A1401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1" s="5" t="str">
        <f ca="1">IFERROR(ROWSDUMMYFUNCTION(IF(A1401="","",CONCATENATE("https://us.pandora.net/on/demandware.static/-/Sites-pandora-master-catalog/default/dwbb259ca6/productimages/singlepackshot/",LEFT(A1401,FIND("-",A1401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2" spans="1:4" x14ac:dyDescent="0.25">
      <c r="A1402" s="3" t="s">
        <v>1404</v>
      </c>
      <c r="B1402" s="4">
        <v>79</v>
      </c>
      <c r="C1402" s="3" t="str">
        <f ca="1">IFERROR(ROWSDUMMYFUNCTION(IF(A1402="","",IFERROR(IMAGE(CONCATENATE("https://us.pandora.net/on/demandware.static/-/Sites-pandora-master-catalog/default/dwbb259ca6/productimages/singlepackshot/",LEFT(A1402,FIND("-",A1402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2" s="5" t="str">
        <f ca="1">IFERROR(ROWSDUMMYFUNCTION(IF(A1402="","",CONCATENATE("https://us.pandora.net/on/demandware.static/-/Sites-pandora-master-catalog/default/dwbb259ca6/productimages/singlepackshot/",LEFT(A1402,FIND("-",A1402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3" spans="1:4" x14ac:dyDescent="0.25">
      <c r="A1403" s="3" t="s">
        <v>1405</v>
      </c>
      <c r="B1403" s="4">
        <v>79</v>
      </c>
      <c r="C1403" s="3" t="str">
        <f ca="1">IFERROR(ROWSDUMMYFUNCTION(IF(A1403="","",IFERROR(IMAGE(CONCATENATE("https://us.pandora.net/on/demandware.static/-/Sites-pandora-master-catalog/default/dwbb259ca6/productimages/singlepackshot/",LEFT(A1403,FIND("-",A1403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3" s="5" t="str">
        <f ca="1">IFERROR(ROWSDUMMYFUNCTION(IF(A1403="","",CONCATENATE("https://us.pandora.net/on/demandware.static/-/Sites-pandora-master-catalog/default/dwbb259ca6/productimages/singlepackshot/",LEFT(A1403,FIND("-",A1403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4" spans="1:4" x14ac:dyDescent="0.25">
      <c r="A1404" s="3" t="s">
        <v>1406</v>
      </c>
      <c r="B1404" s="4">
        <v>79</v>
      </c>
      <c r="C1404" s="3" t="str">
        <f ca="1">IFERROR(ROWSDUMMYFUNCTION(IF(A1404="","",IFERROR(IMAGE(CONCATENATE("https://us.pandora.net/on/demandware.static/-/Sites-pandora-master-catalog/default/dwbb259ca6/productimages/singlepackshot/",LEFT(A1404,FIND("-",A1404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4" s="5" t="str">
        <f ca="1">IFERROR(ROWSDUMMYFUNCTION(IF(A1404="","",CONCATENATE("https://us.pandora.net/on/demandware.static/-/Sites-pandora-master-catalog/default/dwbb259ca6/productimages/singlepackshot/",LEFT(A1404,FIND("-",A1404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5" spans="1:4" x14ac:dyDescent="0.25">
      <c r="A1405" s="3" t="s">
        <v>1407</v>
      </c>
      <c r="B1405" s="4">
        <v>79</v>
      </c>
      <c r="C1405" s="3" t="str">
        <f ca="1">IFERROR(ROWSDUMMYFUNCTION(IF(A1405="","",IFERROR(IMAGE(CONCATENATE("https://us.pandora.net/on/demandware.static/-/Sites-pandora-master-catalog/default/dwbb259ca6/productimages/singlepackshot/",LEFT(A1405,FIND("-",A1405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5" s="5" t="str">
        <f ca="1">IFERROR(ROWSDUMMYFUNCTION(IF(A1405="","",CONCATENATE("https://us.pandora.net/on/demandware.static/-/Sites-pandora-master-catalog/default/dwbb259ca6/productimages/singlepackshot/",LEFT(A1405,FIND("-",A1405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6" spans="1:4" x14ac:dyDescent="0.25">
      <c r="A1406" s="3" t="s">
        <v>1408</v>
      </c>
      <c r="B1406" s="4">
        <v>79</v>
      </c>
      <c r="C1406" s="3" t="str">
        <f ca="1">IFERROR(ROWSDUMMYFUNCTION(IF(A1406="","",IFERROR(IMAGE(CONCATENATE("https://us.pandora.net/on/demandware.static/-/Sites-pandora-master-catalog/default/dwbb259ca6/productimages/singlepackshot/",LEFT(A1406,FIND("-",A1406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6" s="5" t="str">
        <f ca="1">IFERROR(ROWSDUMMYFUNCTION(IF(A1406="","",CONCATENATE("https://us.pandora.net/on/demandware.static/-/Sites-pandora-master-catalog/default/dwbb259ca6/productimages/singlepackshot/",LEFT(A1406,FIND("-",A1406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7" spans="1:4" x14ac:dyDescent="0.25">
      <c r="A1407" s="3" t="s">
        <v>1409</v>
      </c>
      <c r="B1407" s="4">
        <v>79</v>
      </c>
      <c r="C1407" s="3" t="str">
        <f ca="1">IFERROR(ROWSDUMMYFUNCTION(IF(A1407="","",IFERROR(IMAGE(CONCATENATE("https://us.pandora.net/on/demandware.static/-/Sites-pandora-master-catalog/default/dwbb259ca6/productimages/singlepackshot/",LEFT(A1407,FIND("-",A1407&amp;"-")-1),"_RGB.png")),""))),"{""url"":""https://us.pandora.net/on/demandware.static/-/Sites-pandora-master-catalog/default/dwbb259ca6/productimages/singlepackshot/193555C01_RGB.png"",""mode"":1}")</f>
        <v>{"url":"https://us.pandora.net/on/demandware.static/-/Sites-pandora-master-catalog/default/dwbb259ca6/productimages/singlepackshot/193555C01_RGB.png","mode":1}</v>
      </c>
      <c r="D1407" s="5" t="str">
        <f ca="1">IFERROR(ROWSDUMMYFUNCTION(IF(A1407="","",CONCATENATE("https://us.pandora.net/on/demandware.static/-/Sites-pandora-master-catalog/default/dwbb259ca6/productimages/singlepackshot/",LEFT(A1407,FIND("-",A1407&amp;"-")-1),"_RGB.png"))),"https://us.pandora.net/on/demandware.static/-/Sites-pandora-master-catalog/default/dwbb259ca6/productimages/singlepackshot/193555C01_RGB.png")</f>
        <v>https://us.pandora.net/on/demandware.static/-/Sites-pandora-master-catalog/default/dwbb259ca6/productimages/singlepackshot/193555C01_RGB.png</v>
      </c>
    </row>
    <row r="1408" spans="1:4" x14ac:dyDescent="0.25">
      <c r="A1408" s="3" t="s">
        <v>1410</v>
      </c>
      <c r="B1408" s="4">
        <v>79</v>
      </c>
      <c r="C1408" s="3" t="str">
        <f ca="1">IFERROR(ROWSDUMMYFUNCTION(IF(A1408="","",IFERROR(IMAGE(CONCATENATE("https://us.pandora.net/on/demandware.static/-/Sites-pandora-master-catalog/default/dwbb259ca6/productimages/singlepackshot/",LEFT(A1408,FIND("-",A1408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08" s="5" t="str">
        <f ca="1">IFERROR(ROWSDUMMYFUNCTION(IF(A1408="","",CONCATENATE("https://us.pandora.net/on/demandware.static/-/Sites-pandora-master-catalog/default/dwbb259ca6/productimages/singlepackshot/",LEFT(A1408,FIND("-",A1408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09" spans="1:4" x14ac:dyDescent="0.25">
      <c r="A1409" s="3" t="s">
        <v>1411</v>
      </c>
      <c r="B1409" s="4">
        <v>79</v>
      </c>
      <c r="C1409" s="3" t="str">
        <f ca="1">IFERROR(ROWSDUMMYFUNCTION(IF(A1409="","",IFERROR(IMAGE(CONCATENATE("https://us.pandora.net/on/demandware.static/-/Sites-pandora-master-catalog/default/dwbb259ca6/productimages/singlepackshot/",LEFT(A1409,FIND("-",A1409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09" s="5" t="str">
        <f ca="1">IFERROR(ROWSDUMMYFUNCTION(IF(A1409="","",CONCATENATE("https://us.pandora.net/on/demandware.static/-/Sites-pandora-master-catalog/default/dwbb259ca6/productimages/singlepackshot/",LEFT(A1409,FIND("-",A1409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10" spans="1:4" x14ac:dyDescent="0.25">
      <c r="A1410" s="3" t="s">
        <v>1412</v>
      </c>
      <c r="B1410" s="4">
        <v>79</v>
      </c>
      <c r="C1410" s="3" t="str">
        <f ca="1">IFERROR(ROWSDUMMYFUNCTION(IF(A1410="","",IFERROR(IMAGE(CONCATENATE("https://us.pandora.net/on/demandware.static/-/Sites-pandora-master-catalog/default/dwbb259ca6/productimages/singlepackshot/",LEFT(A1410,FIND("-",A1410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10" s="5" t="str">
        <f ca="1">IFERROR(ROWSDUMMYFUNCTION(IF(A1410="","",CONCATENATE("https://us.pandora.net/on/demandware.static/-/Sites-pandora-master-catalog/default/dwbb259ca6/productimages/singlepackshot/",LEFT(A1410,FIND("-",A1410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11" spans="1:4" x14ac:dyDescent="0.25">
      <c r="A1411" s="3" t="s">
        <v>1413</v>
      </c>
      <c r="B1411" s="4">
        <v>79</v>
      </c>
      <c r="C1411" s="3" t="str">
        <f ca="1">IFERROR(ROWSDUMMYFUNCTION(IF(A1411="","",IFERROR(IMAGE(CONCATENATE("https://us.pandora.net/on/demandware.static/-/Sites-pandora-master-catalog/default/dwbb259ca6/productimages/singlepackshot/",LEFT(A1411,FIND("-",A1411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11" s="5" t="str">
        <f ca="1">IFERROR(ROWSDUMMYFUNCTION(IF(A1411="","",CONCATENATE("https://us.pandora.net/on/demandware.static/-/Sites-pandora-master-catalog/default/dwbb259ca6/productimages/singlepackshot/",LEFT(A1411,FIND("-",A1411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12" spans="1:4" x14ac:dyDescent="0.25">
      <c r="A1412" s="3" t="s">
        <v>1414</v>
      </c>
      <c r="B1412" s="4">
        <v>79</v>
      </c>
      <c r="C1412" s="3" t="str">
        <f ca="1">IFERROR(ROWSDUMMYFUNCTION(IF(A1412="","",IFERROR(IMAGE(CONCATENATE("https://us.pandora.net/on/demandware.static/-/Sites-pandora-master-catalog/default/dwbb259ca6/productimages/singlepackshot/",LEFT(A1412,FIND("-",A1412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12" s="5" t="str">
        <f ca="1">IFERROR(ROWSDUMMYFUNCTION(IF(A1412="","",CONCATENATE("https://us.pandora.net/on/demandware.static/-/Sites-pandora-master-catalog/default/dwbb259ca6/productimages/singlepackshot/",LEFT(A1412,FIND("-",A1412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13" spans="1:4" x14ac:dyDescent="0.25">
      <c r="A1413" s="3" t="s">
        <v>1415</v>
      </c>
      <c r="B1413" s="4">
        <v>79</v>
      </c>
      <c r="C1413" s="3" t="str">
        <f ca="1">IFERROR(ROWSDUMMYFUNCTION(IF(A1413="","",IFERROR(IMAGE(CONCATENATE("https://us.pandora.net/on/demandware.static/-/Sites-pandora-master-catalog/default/dwbb259ca6/productimages/singlepackshot/",LEFT(A1413,FIND("-",A1413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13" s="5" t="str">
        <f ca="1">IFERROR(ROWSDUMMYFUNCTION(IF(A1413="","",CONCATENATE("https://us.pandora.net/on/demandware.static/-/Sites-pandora-master-catalog/default/dwbb259ca6/productimages/singlepackshot/",LEFT(A1413,FIND("-",A1413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14" spans="1:4" x14ac:dyDescent="0.25">
      <c r="A1414" s="3" t="s">
        <v>1416</v>
      </c>
      <c r="B1414" s="4">
        <v>79</v>
      </c>
      <c r="C1414" s="3" t="str">
        <f ca="1">IFERROR(ROWSDUMMYFUNCTION(IF(A1414="","",IFERROR(IMAGE(CONCATENATE("https://us.pandora.net/on/demandware.static/-/Sites-pandora-master-catalog/default/dwbb259ca6/productimages/singlepackshot/",LEFT(A1414,FIND("-",A1414&amp;"-")-1),"_RGB.png")),""))),"{""url"":""https://us.pandora.net/on/demandware.static/-/Sites-pandora-master-catalog/default/dwbb259ca6/productimages/singlepackshot/193555C02_RGB.png"",""mode"":1}")</f>
        <v>{"url":"https://us.pandora.net/on/demandware.static/-/Sites-pandora-master-catalog/default/dwbb259ca6/productimages/singlepackshot/193555C02_RGB.png","mode":1}</v>
      </c>
      <c r="D1414" s="5" t="str">
        <f ca="1">IFERROR(ROWSDUMMYFUNCTION(IF(A1414="","",CONCATENATE("https://us.pandora.net/on/demandware.static/-/Sites-pandora-master-catalog/default/dwbb259ca6/productimages/singlepackshot/",LEFT(A1414,FIND("-",A1414&amp;"-")-1),"_RGB.png"))),"https://us.pandora.net/on/demandware.static/-/Sites-pandora-master-catalog/default/dwbb259ca6/productimages/singlepackshot/193555C02_RGB.png")</f>
        <v>https://us.pandora.net/on/demandware.static/-/Sites-pandora-master-catalog/default/dwbb259ca6/productimages/singlepackshot/193555C02_RGB.png</v>
      </c>
    </row>
    <row r="1415" spans="1:4" x14ac:dyDescent="0.25">
      <c r="A1415" s="3" t="s">
        <v>1417</v>
      </c>
      <c r="B1415" s="4">
        <v>129</v>
      </c>
      <c r="C1415" s="3" t="str">
        <f ca="1">IFERROR(ROWSDUMMYFUNCTION(IF(A1415="","",IFERROR(IMAGE(CONCATENATE("https://us.pandora.net/on/demandware.static/-/Sites-pandora-master-catalog/default/dwbb259ca6/productimages/singlepackshot/",LEFT(A1415,FIND("-",A1415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15" s="5" t="str">
        <f ca="1">IFERROR(ROWSDUMMYFUNCTION(IF(A1415="","",CONCATENATE("https://us.pandora.net/on/demandware.static/-/Sites-pandora-master-catalog/default/dwbb259ca6/productimages/singlepackshot/",LEFT(A1415,FIND("-",A1415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16" spans="1:4" x14ac:dyDescent="0.25">
      <c r="A1416" s="3" t="s">
        <v>1418</v>
      </c>
      <c r="B1416" s="4">
        <v>129</v>
      </c>
      <c r="C1416" s="3" t="str">
        <f ca="1">IFERROR(ROWSDUMMYFUNCTION(IF(A1416="","",IFERROR(IMAGE(CONCATENATE("https://us.pandora.net/on/demandware.static/-/Sites-pandora-master-catalog/default/dwbb259ca6/productimages/singlepackshot/",LEFT(A1416,FIND("-",A1416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16" s="5" t="str">
        <f ca="1">IFERROR(ROWSDUMMYFUNCTION(IF(A1416="","",CONCATENATE("https://us.pandora.net/on/demandware.static/-/Sites-pandora-master-catalog/default/dwbb259ca6/productimages/singlepackshot/",LEFT(A1416,FIND("-",A1416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17" spans="1:4" x14ac:dyDescent="0.25">
      <c r="A1417" s="3" t="s">
        <v>1419</v>
      </c>
      <c r="B1417" s="4">
        <v>129</v>
      </c>
      <c r="C1417" s="3" t="str">
        <f ca="1">IFERROR(ROWSDUMMYFUNCTION(IF(A1417="","",IFERROR(IMAGE(CONCATENATE("https://us.pandora.net/on/demandware.static/-/Sites-pandora-master-catalog/default/dwbb259ca6/productimages/singlepackshot/",LEFT(A1417,FIND("-",A1417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17" s="5" t="str">
        <f ca="1">IFERROR(ROWSDUMMYFUNCTION(IF(A1417="","",CONCATENATE("https://us.pandora.net/on/demandware.static/-/Sites-pandora-master-catalog/default/dwbb259ca6/productimages/singlepackshot/",LEFT(A1417,FIND("-",A1417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18" spans="1:4" x14ac:dyDescent="0.25">
      <c r="A1418" s="3" t="s">
        <v>1420</v>
      </c>
      <c r="B1418" s="4">
        <v>129</v>
      </c>
      <c r="C1418" s="3" t="str">
        <f ca="1">IFERROR(ROWSDUMMYFUNCTION(IF(A1418="","",IFERROR(IMAGE(CONCATENATE("https://us.pandora.net/on/demandware.static/-/Sites-pandora-master-catalog/default/dwbb259ca6/productimages/singlepackshot/",LEFT(A1418,FIND("-",A1418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18" s="5" t="str">
        <f ca="1">IFERROR(ROWSDUMMYFUNCTION(IF(A1418="","",CONCATENATE("https://us.pandora.net/on/demandware.static/-/Sites-pandora-master-catalog/default/dwbb259ca6/productimages/singlepackshot/",LEFT(A1418,FIND("-",A1418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19" spans="1:4" x14ac:dyDescent="0.25">
      <c r="A1419" s="3" t="s">
        <v>1421</v>
      </c>
      <c r="B1419" s="4">
        <v>129</v>
      </c>
      <c r="C1419" s="3" t="str">
        <f ca="1">IFERROR(ROWSDUMMYFUNCTION(IF(A1419="","",IFERROR(IMAGE(CONCATENATE("https://us.pandora.net/on/demandware.static/-/Sites-pandora-master-catalog/default/dwbb259ca6/productimages/singlepackshot/",LEFT(A1419,FIND("-",A1419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19" s="5" t="str">
        <f ca="1">IFERROR(ROWSDUMMYFUNCTION(IF(A1419="","",CONCATENATE("https://us.pandora.net/on/demandware.static/-/Sites-pandora-master-catalog/default/dwbb259ca6/productimages/singlepackshot/",LEFT(A1419,FIND("-",A1419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20" spans="1:4" x14ac:dyDescent="0.25">
      <c r="A1420" s="3" t="s">
        <v>1422</v>
      </c>
      <c r="B1420" s="4">
        <v>129</v>
      </c>
      <c r="C1420" s="3" t="str">
        <f ca="1">IFERROR(ROWSDUMMYFUNCTION(IF(A1420="","",IFERROR(IMAGE(CONCATENATE("https://us.pandora.net/on/demandware.static/-/Sites-pandora-master-catalog/default/dwbb259ca6/productimages/singlepackshot/",LEFT(A1420,FIND("-",A1420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20" s="5" t="str">
        <f ca="1">IFERROR(ROWSDUMMYFUNCTION(IF(A1420="","",CONCATENATE("https://us.pandora.net/on/demandware.static/-/Sites-pandora-master-catalog/default/dwbb259ca6/productimages/singlepackshot/",LEFT(A1420,FIND("-",A1420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21" spans="1:4" x14ac:dyDescent="0.25">
      <c r="A1421" s="3" t="s">
        <v>1423</v>
      </c>
      <c r="B1421" s="4">
        <v>129</v>
      </c>
      <c r="C1421" s="3" t="str">
        <f ca="1">IFERROR(ROWSDUMMYFUNCTION(IF(A1421="","",IFERROR(IMAGE(CONCATENATE("https://us.pandora.net/on/demandware.static/-/Sites-pandora-master-catalog/default/dwbb259ca6/productimages/singlepackshot/",LEFT(A1421,FIND("-",A1421&amp;"-")-1),"_RGB.png")),""))),"{""url"":""https://us.pandora.net/on/demandware.static/-/Sites-pandora-master-catalog/default/dwbb259ca6/productimages/singlepackshot/193556C01_RGB.png"",""mode"":1}")</f>
        <v>{"url":"https://us.pandora.net/on/demandware.static/-/Sites-pandora-master-catalog/default/dwbb259ca6/productimages/singlepackshot/193556C01_RGB.png","mode":1}</v>
      </c>
      <c r="D1421" s="5" t="str">
        <f ca="1">IFERROR(ROWSDUMMYFUNCTION(IF(A1421="","",CONCATENATE("https://us.pandora.net/on/demandware.static/-/Sites-pandora-master-catalog/default/dwbb259ca6/productimages/singlepackshot/",LEFT(A1421,FIND("-",A1421&amp;"-")-1),"_RGB.png"))),"https://us.pandora.net/on/demandware.static/-/Sites-pandora-master-catalog/default/dwbb259ca6/productimages/singlepackshot/193556C01_RGB.png")</f>
        <v>https://us.pandora.net/on/demandware.static/-/Sites-pandora-master-catalog/default/dwbb259ca6/productimages/singlepackshot/193556C01_RGB.png</v>
      </c>
    </row>
    <row r="1422" spans="1:4" x14ac:dyDescent="0.25">
      <c r="A1422" s="3" t="s">
        <v>1424</v>
      </c>
      <c r="B1422" s="4">
        <v>99</v>
      </c>
      <c r="C1422" s="3" t="str">
        <f ca="1">IFERROR(ROWSDUMMYFUNCTION(IF(A1422="","",IFERROR(IMAGE(CONCATENATE("https://us.pandora.net/on/demandware.static/-/Sites-pandora-master-catalog/default/dwbb259ca6/productimages/singlepackshot/",LEFT(A1422,FIND("-",A1422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2" s="5" t="str">
        <f ca="1">IFERROR(ROWSDUMMYFUNCTION(IF(A1422="","",CONCATENATE("https://us.pandora.net/on/demandware.static/-/Sites-pandora-master-catalog/default/dwbb259ca6/productimages/singlepackshot/",LEFT(A1422,FIND("-",A1422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3" spans="1:4" x14ac:dyDescent="0.25">
      <c r="A1423" s="3" t="s">
        <v>1425</v>
      </c>
      <c r="B1423" s="4">
        <v>99</v>
      </c>
      <c r="C1423" s="3" t="str">
        <f ca="1">IFERROR(ROWSDUMMYFUNCTION(IF(A1423="","",IFERROR(IMAGE(CONCATENATE("https://us.pandora.net/on/demandware.static/-/Sites-pandora-master-catalog/default/dwbb259ca6/productimages/singlepackshot/",LEFT(A1423,FIND("-",A1423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3" s="5" t="str">
        <f ca="1">IFERROR(ROWSDUMMYFUNCTION(IF(A1423="","",CONCATENATE("https://us.pandora.net/on/demandware.static/-/Sites-pandora-master-catalog/default/dwbb259ca6/productimages/singlepackshot/",LEFT(A1423,FIND("-",A1423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4" spans="1:4" x14ac:dyDescent="0.25">
      <c r="A1424" s="3" t="s">
        <v>1426</v>
      </c>
      <c r="B1424" s="4">
        <v>99</v>
      </c>
      <c r="C1424" s="3" t="str">
        <f ca="1">IFERROR(ROWSDUMMYFUNCTION(IF(A1424="","",IFERROR(IMAGE(CONCATENATE("https://us.pandora.net/on/demandware.static/-/Sites-pandora-master-catalog/default/dwbb259ca6/productimages/singlepackshot/",LEFT(A1424,FIND("-",A1424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4" s="5" t="str">
        <f ca="1">IFERROR(ROWSDUMMYFUNCTION(IF(A1424="","",CONCATENATE("https://us.pandora.net/on/demandware.static/-/Sites-pandora-master-catalog/default/dwbb259ca6/productimages/singlepackshot/",LEFT(A1424,FIND("-",A1424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5" spans="1:4" x14ac:dyDescent="0.25">
      <c r="A1425" s="3" t="s">
        <v>1427</v>
      </c>
      <c r="B1425" s="4">
        <v>99</v>
      </c>
      <c r="C1425" s="3" t="str">
        <f ca="1">IFERROR(ROWSDUMMYFUNCTION(IF(A1425="","",IFERROR(IMAGE(CONCATENATE("https://us.pandora.net/on/demandware.static/-/Sites-pandora-master-catalog/default/dwbb259ca6/productimages/singlepackshot/",LEFT(A1425,FIND("-",A1425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5" s="5" t="str">
        <f ca="1">IFERROR(ROWSDUMMYFUNCTION(IF(A1425="","",CONCATENATE("https://us.pandora.net/on/demandware.static/-/Sites-pandora-master-catalog/default/dwbb259ca6/productimages/singlepackshot/",LEFT(A1425,FIND("-",A1425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6" spans="1:4" x14ac:dyDescent="0.25">
      <c r="A1426" s="3" t="s">
        <v>1428</v>
      </c>
      <c r="B1426" s="4">
        <v>99</v>
      </c>
      <c r="C1426" s="3" t="str">
        <f ca="1">IFERROR(ROWSDUMMYFUNCTION(IF(A1426="","",IFERROR(IMAGE(CONCATENATE("https://us.pandora.net/on/demandware.static/-/Sites-pandora-master-catalog/default/dwbb259ca6/productimages/singlepackshot/",LEFT(A1426,FIND("-",A1426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6" s="5" t="str">
        <f ca="1">IFERROR(ROWSDUMMYFUNCTION(IF(A1426="","",CONCATENATE("https://us.pandora.net/on/demandware.static/-/Sites-pandora-master-catalog/default/dwbb259ca6/productimages/singlepackshot/",LEFT(A1426,FIND("-",A1426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7" spans="1:4" x14ac:dyDescent="0.25">
      <c r="A1427" s="3" t="s">
        <v>1429</v>
      </c>
      <c r="B1427" s="4">
        <v>99</v>
      </c>
      <c r="C1427" s="3" t="str">
        <f ca="1">IFERROR(ROWSDUMMYFUNCTION(IF(A1427="","",IFERROR(IMAGE(CONCATENATE("https://us.pandora.net/on/demandware.static/-/Sites-pandora-master-catalog/default/dwbb259ca6/productimages/singlepackshot/",LEFT(A1427,FIND("-",A1427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7" s="5" t="str">
        <f ca="1">IFERROR(ROWSDUMMYFUNCTION(IF(A1427="","",CONCATENATE("https://us.pandora.net/on/demandware.static/-/Sites-pandora-master-catalog/default/dwbb259ca6/productimages/singlepackshot/",LEFT(A1427,FIND("-",A1427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8" spans="1:4" x14ac:dyDescent="0.25">
      <c r="A1428" s="3" t="s">
        <v>1430</v>
      </c>
      <c r="B1428" s="4">
        <v>99</v>
      </c>
      <c r="C1428" s="3" t="str">
        <f ca="1">IFERROR(ROWSDUMMYFUNCTION(IF(A1428="","",IFERROR(IMAGE(CONCATENATE("https://us.pandora.net/on/demandware.static/-/Sites-pandora-master-catalog/default/dwbb259ca6/productimages/singlepackshot/",LEFT(A1428,FIND("-",A1428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8" s="5" t="str">
        <f ca="1">IFERROR(ROWSDUMMYFUNCTION(IF(A1428="","",CONCATENATE("https://us.pandora.net/on/demandware.static/-/Sites-pandora-master-catalog/default/dwbb259ca6/productimages/singlepackshot/",LEFT(A1428,FIND("-",A1428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29" spans="1:4" x14ac:dyDescent="0.25">
      <c r="A1429" s="3" t="s">
        <v>1431</v>
      </c>
      <c r="B1429" s="4">
        <v>99</v>
      </c>
      <c r="C1429" s="3" t="str">
        <f ca="1">IFERROR(ROWSDUMMYFUNCTION(IF(A1429="","",IFERROR(IMAGE(CONCATENATE("https://us.pandora.net/on/demandware.static/-/Sites-pandora-master-catalog/default/dwbb259ca6/productimages/singlepackshot/",LEFT(A1429,FIND("-",A1429&amp;"-")-1),"_RGB.png")),""))),"{""url"":""https://us.pandora.net/on/demandware.static/-/Sites-pandora-master-catalog/default/dwbb259ca6/productimages/singlepackshot/193557C01_RGB.png"",""mode"":1}")</f>
        <v>{"url":"https://us.pandora.net/on/demandware.static/-/Sites-pandora-master-catalog/default/dwbb259ca6/productimages/singlepackshot/193557C01_RGB.png","mode":1}</v>
      </c>
      <c r="D1429" s="5" t="str">
        <f ca="1">IFERROR(ROWSDUMMYFUNCTION(IF(A1429="","",CONCATENATE("https://us.pandora.net/on/demandware.static/-/Sites-pandora-master-catalog/default/dwbb259ca6/productimages/singlepackshot/",LEFT(A1429,FIND("-",A1429&amp;"-")-1),"_RGB.png"))),"https://us.pandora.net/on/demandware.static/-/Sites-pandora-master-catalog/default/dwbb259ca6/productimages/singlepackshot/193557C01_RGB.png")</f>
        <v>https://us.pandora.net/on/demandware.static/-/Sites-pandora-master-catalog/default/dwbb259ca6/productimages/singlepackshot/193557C01_RGB.png</v>
      </c>
    </row>
    <row r="1430" spans="1:4" x14ac:dyDescent="0.25">
      <c r="A1430" s="3" t="s">
        <v>1432</v>
      </c>
      <c r="B1430" s="4">
        <v>89</v>
      </c>
      <c r="C1430" s="3" t="str">
        <f ca="1">IFERROR(ROWSDUMMYFUNCTION(IF(A1430="","",IFERROR(IMAGE(CONCATENATE("https://us.pandora.net/on/demandware.static/-/Sites-pandora-master-catalog/default/dwbb259ca6/productimages/singlepackshot/",LEFT(A1430,FIND("-",A1430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0" s="5" t="str">
        <f ca="1">IFERROR(ROWSDUMMYFUNCTION(IF(A1430="","",CONCATENATE("https://us.pandora.net/on/demandware.static/-/Sites-pandora-master-catalog/default/dwbb259ca6/productimages/singlepackshot/",LEFT(A1430,FIND("-",A1430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1" spans="1:4" x14ac:dyDescent="0.25">
      <c r="A1431" s="3" t="s">
        <v>1433</v>
      </c>
      <c r="B1431" s="4">
        <v>89</v>
      </c>
      <c r="C1431" s="3" t="str">
        <f ca="1">IFERROR(ROWSDUMMYFUNCTION(IF(A1431="","",IFERROR(IMAGE(CONCATENATE("https://us.pandora.net/on/demandware.static/-/Sites-pandora-master-catalog/default/dwbb259ca6/productimages/singlepackshot/",LEFT(A1431,FIND("-",A1431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1" s="5" t="str">
        <f ca="1">IFERROR(ROWSDUMMYFUNCTION(IF(A1431="","",CONCATENATE("https://us.pandora.net/on/demandware.static/-/Sites-pandora-master-catalog/default/dwbb259ca6/productimages/singlepackshot/",LEFT(A1431,FIND("-",A1431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2" spans="1:4" x14ac:dyDescent="0.25">
      <c r="A1432" s="3" t="s">
        <v>1434</v>
      </c>
      <c r="B1432" s="4">
        <v>89</v>
      </c>
      <c r="C1432" s="3" t="str">
        <f ca="1">IFERROR(ROWSDUMMYFUNCTION(IF(A1432="","",IFERROR(IMAGE(CONCATENATE("https://us.pandora.net/on/demandware.static/-/Sites-pandora-master-catalog/default/dwbb259ca6/productimages/singlepackshot/",LEFT(A1432,FIND("-",A1432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2" s="5" t="str">
        <f ca="1">IFERROR(ROWSDUMMYFUNCTION(IF(A1432="","",CONCATENATE("https://us.pandora.net/on/demandware.static/-/Sites-pandora-master-catalog/default/dwbb259ca6/productimages/singlepackshot/",LEFT(A1432,FIND("-",A1432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3" spans="1:4" x14ac:dyDescent="0.25">
      <c r="A1433" s="3" t="s">
        <v>1435</v>
      </c>
      <c r="B1433" s="4">
        <v>89</v>
      </c>
      <c r="C1433" s="3" t="str">
        <f ca="1">IFERROR(ROWSDUMMYFUNCTION(IF(A1433="","",IFERROR(IMAGE(CONCATENATE("https://us.pandora.net/on/demandware.static/-/Sites-pandora-master-catalog/default/dwbb259ca6/productimages/singlepackshot/",LEFT(A1433,FIND("-",A1433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3" s="5" t="str">
        <f ca="1">IFERROR(ROWSDUMMYFUNCTION(IF(A1433="","",CONCATENATE("https://us.pandora.net/on/demandware.static/-/Sites-pandora-master-catalog/default/dwbb259ca6/productimages/singlepackshot/",LEFT(A1433,FIND("-",A1433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4" spans="1:4" x14ac:dyDescent="0.25">
      <c r="A1434" s="3" t="s">
        <v>1436</v>
      </c>
      <c r="B1434" s="4">
        <v>89</v>
      </c>
      <c r="C1434" s="3" t="str">
        <f ca="1">IFERROR(ROWSDUMMYFUNCTION(IF(A1434="","",IFERROR(IMAGE(CONCATENATE("https://us.pandora.net/on/demandware.static/-/Sites-pandora-master-catalog/default/dwbb259ca6/productimages/singlepackshot/",LEFT(A1434,FIND("-",A1434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4" s="5" t="str">
        <f ca="1">IFERROR(ROWSDUMMYFUNCTION(IF(A1434="","",CONCATENATE("https://us.pandora.net/on/demandware.static/-/Sites-pandora-master-catalog/default/dwbb259ca6/productimages/singlepackshot/",LEFT(A1434,FIND("-",A1434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5" spans="1:4" x14ac:dyDescent="0.25">
      <c r="A1435" s="3" t="s">
        <v>1437</v>
      </c>
      <c r="B1435" s="4">
        <v>89</v>
      </c>
      <c r="C1435" s="3" t="str">
        <f ca="1">IFERROR(ROWSDUMMYFUNCTION(IF(A1435="","",IFERROR(IMAGE(CONCATENATE("https://us.pandora.net/on/demandware.static/-/Sites-pandora-master-catalog/default/dwbb259ca6/productimages/singlepackshot/",LEFT(A1435,FIND("-",A1435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5" s="5" t="str">
        <f ca="1">IFERROR(ROWSDUMMYFUNCTION(IF(A1435="","",CONCATENATE("https://us.pandora.net/on/demandware.static/-/Sites-pandora-master-catalog/default/dwbb259ca6/productimages/singlepackshot/",LEFT(A1435,FIND("-",A1435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6" spans="1:4" x14ac:dyDescent="0.25">
      <c r="A1436" s="3" t="s">
        <v>1438</v>
      </c>
      <c r="B1436" s="4">
        <v>89</v>
      </c>
      <c r="C1436" s="3" t="str">
        <f ca="1">IFERROR(ROWSDUMMYFUNCTION(IF(A1436="","",IFERROR(IMAGE(CONCATENATE("https://us.pandora.net/on/demandware.static/-/Sites-pandora-master-catalog/default/dwbb259ca6/productimages/singlepackshot/",LEFT(A1436,FIND("-",A1436&amp;"-")-1),"_RGB.png")),""))),"{""url"":""https://us.pandora.net/on/demandware.static/-/Sites-pandora-master-catalog/default/dwbb259ca6/productimages/singlepackshot/193569C00_RGB.png"",""mode"":1}")</f>
        <v>{"url":"https://us.pandora.net/on/demandware.static/-/Sites-pandora-master-catalog/default/dwbb259ca6/productimages/singlepackshot/193569C00_RGB.png","mode":1}</v>
      </c>
      <c r="D1436" s="5" t="str">
        <f ca="1">IFERROR(ROWSDUMMYFUNCTION(IF(A1436="","",CONCATENATE("https://us.pandora.net/on/demandware.static/-/Sites-pandora-master-catalog/default/dwbb259ca6/productimages/singlepackshot/",LEFT(A1436,FIND("-",A1436&amp;"-")-1),"_RGB.png"))),"https://us.pandora.net/on/demandware.static/-/Sites-pandora-master-catalog/default/dwbb259ca6/productimages/singlepackshot/193569C00_RGB.png")</f>
        <v>https://us.pandora.net/on/demandware.static/-/Sites-pandora-master-catalog/default/dwbb259ca6/productimages/singlepackshot/193569C00_RGB.png</v>
      </c>
    </row>
    <row r="1437" spans="1:4" x14ac:dyDescent="0.25">
      <c r="A1437" s="3" t="s">
        <v>1439</v>
      </c>
      <c r="B1437" s="4">
        <v>79</v>
      </c>
      <c r="C1437" s="3" t="str">
        <f ca="1">IFERROR(ROWSDUMMYFUNCTION(IF(A1437="","",IFERROR(IMAGE(CONCATENATE("https://us.pandora.net/on/demandware.static/-/Sites-pandora-master-catalog/default/dwbb259ca6/productimages/singlepackshot/",LEFT(A1437,FIND("-",A1437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37" s="5" t="str">
        <f ca="1">IFERROR(ROWSDUMMYFUNCTION(IF(A1437="","",CONCATENATE("https://us.pandora.net/on/demandware.static/-/Sites-pandora-master-catalog/default/dwbb259ca6/productimages/singlepackshot/",LEFT(A1437,FIND("-",A1437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38" spans="1:4" x14ac:dyDescent="0.25">
      <c r="A1438" s="3" t="s">
        <v>1440</v>
      </c>
      <c r="B1438" s="4">
        <v>79</v>
      </c>
      <c r="C1438" s="3" t="str">
        <f ca="1">IFERROR(ROWSDUMMYFUNCTION(IF(A1438="","",IFERROR(IMAGE(CONCATENATE("https://us.pandora.net/on/demandware.static/-/Sites-pandora-master-catalog/default/dwbb259ca6/productimages/singlepackshot/",LEFT(A1438,FIND("-",A1438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38" s="5" t="str">
        <f ca="1">IFERROR(ROWSDUMMYFUNCTION(IF(A1438="","",CONCATENATE("https://us.pandora.net/on/demandware.static/-/Sites-pandora-master-catalog/default/dwbb259ca6/productimages/singlepackshot/",LEFT(A1438,FIND("-",A1438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39" spans="1:4" x14ac:dyDescent="0.25">
      <c r="A1439" s="3" t="s">
        <v>1441</v>
      </c>
      <c r="B1439" s="4">
        <v>79</v>
      </c>
      <c r="C1439" s="3" t="str">
        <f ca="1">IFERROR(ROWSDUMMYFUNCTION(IF(A1439="","",IFERROR(IMAGE(CONCATENATE("https://us.pandora.net/on/demandware.static/-/Sites-pandora-master-catalog/default/dwbb259ca6/productimages/singlepackshot/",LEFT(A1439,FIND("-",A1439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39" s="5" t="str">
        <f ca="1">IFERROR(ROWSDUMMYFUNCTION(IF(A1439="","",CONCATENATE("https://us.pandora.net/on/demandware.static/-/Sites-pandora-master-catalog/default/dwbb259ca6/productimages/singlepackshot/",LEFT(A1439,FIND("-",A1439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40" spans="1:4" x14ac:dyDescent="0.25">
      <c r="A1440" s="3" t="s">
        <v>1442</v>
      </c>
      <c r="B1440" s="4">
        <v>79</v>
      </c>
      <c r="C1440" s="3" t="str">
        <f ca="1">IFERROR(ROWSDUMMYFUNCTION(IF(A1440="","",IFERROR(IMAGE(CONCATENATE("https://us.pandora.net/on/demandware.static/-/Sites-pandora-master-catalog/default/dwbb259ca6/productimages/singlepackshot/",LEFT(A1440,FIND("-",A1440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40" s="5" t="str">
        <f ca="1">IFERROR(ROWSDUMMYFUNCTION(IF(A1440="","",CONCATENATE("https://us.pandora.net/on/demandware.static/-/Sites-pandora-master-catalog/default/dwbb259ca6/productimages/singlepackshot/",LEFT(A1440,FIND("-",A1440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41" spans="1:4" x14ac:dyDescent="0.25">
      <c r="A1441" s="3" t="s">
        <v>1443</v>
      </c>
      <c r="B1441" s="4">
        <v>79</v>
      </c>
      <c r="C1441" s="3" t="str">
        <f ca="1">IFERROR(ROWSDUMMYFUNCTION(IF(A1441="","",IFERROR(IMAGE(CONCATENATE("https://us.pandora.net/on/demandware.static/-/Sites-pandora-master-catalog/default/dwbb259ca6/productimages/singlepackshot/",LEFT(A1441,FIND("-",A1441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41" s="5" t="str">
        <f ca="1">IFERROR(ROWSDUMMYFUNCTION(IF(A1441="","",CONCATENATE("https://us.pandora.net/on/demandware.static/-/Sites-pandora-master-catalog/default/dwbb259ca6/productimages/singlepackshot/",LEFT(A1441,FIND("-",A1441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42" spans="1:4" x14ac:dyDescent="0.25">
      <c r="A1442" s="3" t="s">
        <v>1444</v>
      </c>
      <c r="B1442" s="4">
        <v>79</v>
      </c>
      <c r="C1442" s="3" t="str">
        <f ca="1">IFERROR(ROWSDUMMYFUNCTION(IF(A1442="","",IFERROR(IMAGE(CONCATENATE("https://us.pandora.net/on/demandware.static/-/Sites-pandora-master-catalog/default/dwbb259ca6/productimages/singlepackshot/",LEFT(A1442,FIND("-",A1442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42" s="5" t="str">
        <f ca="1">IFERROR(ROWSDUMMYFUNCTION(IF(A1442="","",CONCATENATE("https://us.pandora.net/on/demandware.static/-/Sites-pandora-master-catalog/default/dwbb259ca6/productimages/singlepackshot/",LEFT(A1442,FIND("-",A1442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43" spans="1:4" x14ac:dyDescent="0.25">
      <c r="A1443" s="3" t="s">
        <v>1445</v>
      </c>
      <c r="B1443" s="4">
        <v>79</v>
      </c>
      <c r="C1443" s="3" t="str">
        <f ca="1">IFERROR(ROWSDUMMYFUNCTION(IF(A1443="","",IFERROR(IMAGE(CONCATENATE("https://us.pandora.net/on/demandware.static/-/Sites-pandora-master-catalog/default/dwbb259ca6/productimages/singlepackshot/",LEFT(A1443,FIND("-",A1443&amp;"-")-1),"_RGB.png")),""))),"{""url"":""https://us.pandora.net/on/demandware.static/-/Sites-pandora-master-catalog/default/dwbb259ca6/productimages/singlepackshot/193578C01_RGB.png"",""mode"":1}")</f>
        <v>{"url":"https://us.pandora.net/on/demandware.static/-/Sites-pandora-master-catalog/default/dwbb259ca6/productimages/singlepackshot/193578C01_RGB.png","mode":1}</v>
      </c>
      <c r="D1443" s="5" t="str">
        <f ca="1">IFERROR(ROWSDUMMYFUNCTION(IF(A1443="","",CONCATENATE("https://us.pandora.net/on/demandware.static/-/Sites-pandora-master-catalog/default/dwbb259ca6/productimages/singlepackshot/",LEFT(A1443,FIND("-",A1443&amp;"-")-1),"_RGB.png"))),"https://us.pandora.net/on/demandware.static/-/Sites-pandora-master-catalog/default/dwbb259ca6/productimages/singlepackshot/193578C01_RGB.png")</f>
        <v>https://us.pandora.net/on/demandware.static/-/Sites-pandora-master-catalog/default/dwbb259ca6/productimages/singlepackshot/193578C01_RGB.png</v>
      </c>
    </row>
    <row r="1444" spans="1:4" x14ac:dyDescent="0.25">
      <c r="A1444" s="3" t="s">
        <v>1446</v>
      </c>
      <c r="B1444" s="4">
        <v>49</v>
      </c>
      <c r="C1444" s="3" t="str">
        <f ca="1">IFERROR(ROWSDUMMYFUNCTION(IF(A1444="","",IFERROR(IMAGE(CONCATENATE("https://us.pandora.net/on/demandware.static/-/Sites-pandora-master-catalog/default/dwbb259ca6/productimages/singlepackshot/",LEFT(A1444,FIND("-",A1444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44" s="5" t="str">
        <f ca="1">IFERROR(ROWSDUMMYFUNCTION(IF(A1444="","",CONCATENATE("https://us.pandora.net/on/demandware.static/-/Sites-pandora-master-catalog/default/dwbb259ca6/productimages/singlepackshot/",LEFT(A1444,FIND("-",A1444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45" spans="1:4" x14ac:dyDescent="0.25">
      <c r="A1445" s="3" t="s">
        <v>1447</v>
      </c>
      <c r="B1445" s="4">
        <v>49</v>
      </c>
      <c r="C1445" s="3" t="str">
        <f ca="1">IFERROR(ROWSDUMMYFUNCTION(IF(A1445="","",IFERROR(IMAGE(CONCATENATE("https://us.pandora.net/on/demandware.static/-/Sites-pandora-master-catalog/default/dwbb259ca6/productimages/singlepackshot/",LEFT(A1445,FIND("-",A1445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45" s="5" t="str">
        <f ca="1">IFERROR(ROWSDUMMYFUNCTION(IF(A1445="","",CONCATENATE("https://us.pandora.net/on/demandware.static/-/Sites-pandora-master-catalog/default/dwbb259ca6/productimages/singlepackshot/",LEFT(A1445,FIND("-",A1445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46" spans="1:4" x14ac:dyDescent="0.25">
      <c r="A1446" s="3" t="s">
        <v>1448</v>
      </c>
      <c r="B1446" s="4">
        <v>49</v>
      </c>
      <c r="C1446" s="3" t="str">
        <f ca="1">IFERROR(ROWSDUMMYFUNCTION(IF(A1446="","",IFERROR(IMAGE(CONCATENATE("https://us.pandora.net/on/demandware.static/-/Sites-pandora-master-catalog/default/dwbb259ca6/productimages/singlepackshot/",LEFT(A1446,FIND("-",A1446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46" s="5" t="str">
        <f ca="1">IFERROR(ROWSDUMMYFUNCTION(IF(A1446="","",CONCATENATE("https://us.pandora.net/on/demandware.static/-/Sites-pandora-master-catalog/default/dwbb259ca6/productimages/singlepackshot/",LEFT(A1446,FIND("-",A1446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47" spans="1:4" x14ac:dyDescent="0.25">
      <c r="A1447" s="3" t="s">
        <v>1449</v>
      </c>
      <c r="B1447" s="4">
        <v>49</v>
      </c>
      <c r="C1447" s="3" t="str">
        <f ca="1">IFERROR(ROWSDUMMYFUNCTION(IF(A1447="","",IFERROR(IMAGE(CONCATENATE("https://us.pandora.net/on/demandware.static/-/Sites-pandora-master-catalog/default/dwbb259ca6/productimages/singlepackshot/",LEFT(A1447,FIND("-",A1447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47" s="5" t="str">
        <f ca="1">IFERROR(ROWSDUMMYFUNCTION(IF(A1447="","",CONCATENATE("https://us.pandora.net/on/demandware.static/-/Sites-pandora-master-catalog/default/dwbb259ca6/productimages/singlepackshot/",LEFT(A1447,FIND("-",A1447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48" spans="1:4" x14ac:dyDescent="0.25">
      <c r="A1448" s="3" t="s">
        <v>1450</v>
      </c>
      <c r="B1448" s="4">
        <v>49</v>
      </c>
      <c r="C1448" s="3" t="str">
        <f ca="1">IFERROR(ROWSDUMMYFUNCTION(IF(A1448="","",IFERROR(IMAGE(CONCATENATE("https://us.pandora.net/on/demandware.static/-/Sites-pandora-master-catalog/default/dwbb259ca6/productimages/singlepackshot/",LEFT(A1448,FIND("-",A1448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48" s="5" t="str">
        <f ca="1">IFERROR(ROWSDUMMYFUNCTION(IF(A1448="","",CONCATENATE("https://us.pandora.net/on/demandware.static/-/Sites-pandora-master-catalog/default/dwbb259ca6/productimages/singlepackshot/",LEFT(A1448,FIND("-",A1448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49" spans="1:4" x14ac:dyDescent="0.25">
      <c r="A1449" s="3" t="s">
        <v>1451</v>
      </c>
      <c r="B1449" s="4">
        <v>49</v>
      </c>
      <c r="C1449" s="3" t="str">
        <f ca="1">IFERROR(ROWSDUMMYFUNCTION(IF(A1449="","",IFERROR(IMAGE(CONCATENATE("https://us.pandora.net/on/demandware.static/-/Sites-pandora-master-catalog/default/dwbb259ca6/productimages/singlepackshot/",LEFT(A1449,FIND("-",A1449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49" s="5" t="str">
        <f ca="1">IFERROR(ROWSDUMMYFUNCTION(IF(A1449="","",CONCATENATE("https://us.pandora.net/on/demandware.static/-/Sites-pandora-master-catalog/default/dwbb259ca6/productimages/singlepackshot/",LEFT(A1449,FIND("-",A1449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50" spans="1:4" x14ac:dyDescent="0.25">
      <c r="A1450" s="3" t="s">
        <v>1452</v>
      </c>
      <c r="B1450" s="4">
        <v>49</v>
      </c>
      <c r="C1450" s="3" t="str">
        <f ca="1">IFERROR(ROWSDUMMYFUNCTION(IF(A1450="","",IFERROR(IMAGE(CONCATENATE("https://us.pandora.net/on/demandware.static/-/Sites-pandora-master-catalog/default/dwbb259ca6/productimages/singlepackshot/",LEFT(A1450,FIND("-",A1450&amp;"-")-1),"_RGB.png")),""))),"{""url"":""https://us.pandora.net/on/demandware.static/-/Sites-pandora-master-catalog/default/dwbb259ca6/productimages/singlepackshot/193582C01_RGB.png"",""mode"":1}")</f>
        <v>{"url":"https://us.pandora.net/on/demandware.static/-/Sites-pandora-master-catalog/default/dwbb259ca6/productimages/singlepackshot/193582C01_RGB.png","mode":1}</v>
      </c>
      <c r="D1450" s="5" t="str">
        <f ca="1">IFERROR(ROWSDUMMYFUNCTION(IF(A1450="","",CONCATENATE("https://us.pandora.net/on/demandware.static/-/Sites-pandora-master-catalog/default/dwbb259ca6/productimages/singlepackshot/",LEFT(A1450,FIND("-",A1450&amp;"-")-1),"_RGB.png"))),"https://us.pandora.net/on/demandware.static/-/Sites-pandora-master-catalog/default/dwbb259ca6/productimages/singlepackshot/193582C01_RGB.png")</f>
        <v>https://us.pandora.net/on/demandware.static/-/Sites-pandora-master-catalog/default/dwbb259ca6/productimages/singlepackshot/193582C01_RGB.png</v>
      </c>
    </row>
    <row r="1451" spans="1:4" x14ac:dyDescent="0.25">
      <c r="A1451" s="3" t="s">
        <v>1453</v>
      </c>
      <c r="B1451" s="4">
        <v>49</v>
      </c>
      <c r="C1451" s="3" t="str">
        <f ca="1">IFERROR(ROWSDUMMYFUNCTION(IF(A1451="","",IFERROR(IMAGE(CONCATENATE("https://us.pandora.net/on/demandware.static/-/Sites-pandora-master-catalog/default/dwbb259ca6/productimages/singlepackshot/",LEFT(A1451,FIND("-",A1451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1" s="5" t="str">
        <f ca="1">IFERROR(ROWSDUMMYFUNCTION(IF(A1451="","",CONCATENATE("https://us.pandora.net/on/demandware.static/-/Sites-pandora-master-catalog/default/dwbb259ca6/productimages/singlepackshot/",LEFT(A1451,FIND("-",A1451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2" spans="1:4" x14ac:dyDescent="0.25">
      <c r="A1452" s="3" t="s">
        <v>1454</v>
      </c>
      <c r="B1452" s="4">
        <v>49</v>
      </c>
      <c r="C1452" s="3" t="str">
        <f ca="1">IFERROR(ROWSDUMMYFUNCTION(IF(A1452="","",IFERROR(IMAGE(CONCATENATE("https://us.pandora.net/on/demandware.static/-/Sites-pandora-master-catalog/default/dwbb259ca6/productimages/singlepackshot/",LEFT(A1452,FIND("-",A1452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2" s="5" t="str">
        <f ca="1">IFERROR(ROWSDUMMYFUNCTION(IF(A1452="","",CONCATENATE("https://us.pandora.net/on/demandware.static/-/Sites-pandora-master-catalog/default/dwbb259ca6/productimages/singlepackshot/",LEFT(A1452,FIND("-",A1452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3" spans="1:4" x14ac:dyDescent="0.25">
      <c r="A1453" s="3" t="s">
        <v>1455</v>
      </c>
      <c r="B1453" s="4">
        <v>49</v>
      </c>
      <c r="C1453" s="3" t="str">
        <f ca="1">IFERROR(ROWSDUMMYFUNCTION(IF(A1453="","",IFERROR(IMAGE(CONCATENATE("https://us.pandora.net/on/demandware.static/-/Sites-pandora-master-catalog/default/dwbb259ca6/productimages/singlepackshot/",LEFT(A1453,FIND("-",A1453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3" s="5" t="str">
        <f ca="1">IFERROR(ROWSDUMMYFUNCTION(IF(A1453="","",CONCATENATE("https://us.pandora.net/on/demandware.static/-/Sites-pandora-master-catalog/default/dwbb259ca6/productimages/singlepackshot/",LEFT(A1453,FIND("-",A1453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4" spans="1:4" x14ac:dyDescent="0.25">
      <c r="A1454" s="3" t="s">
        <v>1456</v>
      </c>
      <c r="B1454" s="4">
        <v>49</v>
      </c>
      <c r="C1454" s="3" t="str">
        <f ca="1">IFERROR(ROWSDUMMYFUNCTION(IF(A1454="","",IFERROR(IMAGE(CONCATENATE("https://us.pandora.net/on/demandware.static/-/Sites-pandora-master-catalog/default/dwbb259ca6/productimages/singlepackshot/",LEFT(A1454,FIND("-",A1454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4" s="5" t="str">
        <f ca="1">IFERROR(ROWSDUMMYFUNCTION(IF(A1454="","",CONCATENATE("https://us.pandora.net/on/demandware.static/-/Sites-pandora-master-catalog/default/dwbb259ca6/productimages/singlepackshot/",LEFT(A1454,FIND("-",A1454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5" spans="1:4" x14ac:dyDescent="0.25">
      <c r="A1455" s="3" t="s">
        <v>1457</v>
      </c>
      <c r="B1455" s="4">
        <v>49</v>
      </c>
      <c r="C1455" s="3" t="str">
        <f ca="1">IFERROR(ROWSDUMMYFUNCTION(IF(A1455="","",IFERROR(IMAGE(CONCATENATE("https://us.pandora.net/on/demandware.static/-/Sites-pandora-master-catalog/default/dwbb259ca6/productimages/singlepackshot/",LEFT(A1455,FIND("-",A1455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5" s="5" t="str">
        <f ca="1">IFERROR(ROWSDUMMYFUNCTION(IF(A1455="","",CONCATENATE("https://us.pandora.net/on/demandware.static/-/Sites-pandora-master-catalog/default/dwbb259ca6/productimages/singlepackshot/",LEFT(A1455,FIND("-",A1455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6" spans="1:4" x14ac:dyDescent="0.25">
      <c r="A1456" s="3" t="s">
        <v>1458</v>
      </c>
      <c r="B1456" s="4">
        <v>49</v>
      </c>
      <c r="C1456" s="3" t="str">
        <f ca="1">IFERROR(ROWSDUMMYFUNCTION(IF(A1456="","",IFERROR(IMAGE(CONCATENATE("https://us.pandora.net/on/demandware.static/-/Sites-pandora-master-catalog/default/dwbb259ca6/productimages/singlepackshot/",LEFT(A1456,FIND("-",A1456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6" s="5" t="str">
        <f ca="1">IFERROR(ROWSDUMMYFUNCTION(IF(A1456="","",CONCATENATE("https://us.pandora.net/on/demandware.static/-/Sites-pandora-master-catalog/default/dwbb259ca6/productimages/singlepackshot/",LEFT(A1456,FIND("-",A1456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7" spans="1:4" x14ac:dyDescent="0.25">
      <c r="A1457" s="3" t="s">
        <v>1459</v>
      </c>
      <c r="B1457" s="4">
        <v>49</v>
      </c>
      <c r="C1457" s="3" t="str">
        <f ca="1">IFERROR(ROWSDUMMYFUNCTION(IF(A1457="","",IFERROR(IMAGE(CONCATENATE("https://us.pandora.net/on/demandware.static/-/Sites-pandora-master-catalog/default/dwbb259ca6/productimages/singlepackshot/",LEFT(A1457,FIND("-",A1457&amp;"-")-1),"_RGB.png")),""))),"{""url"":""https://us.pandora.net/on/demandware.static/-/Sites-pandora-master-catalog/default/dwbb259ca6/productimages/singlepackshot/193619C01_RGB.png"",""mode"":1}")</f>
        <v>{"url":"https://us.pandora.net/on/demandware.static/-/Sites-pandora-master-catalog/default/dwbb259ca6/productimages/singlepackshot/193619C01_RGB.png","mode":1}</v>
      </c>
      <c r="D1457" s="5" t="str">
        <f ca="1">IFERROR(ROWSDUMMYFUNCTION(IF(A1457="","",CONCATENATE("https://us.pandora.net/on/demandware.static/-/Sites-pandora-master-catalog/default/dwbb259ca6/productimages/singlepackshot/",LEFT(A1457,FIND("-",A1457&amp;"-")-1),"_RGB.png"))),"https://us.pandora.net/on/demandware.static/-/Sites-pandora-master-catalog/default/dwbb259ca6/productimages/singlepackshot/193619C01_RGB.png")</f>
        <v>https://us.pandora.net/on/demandware.static/-/Sites-pandora-master-catalog/default/dwbb259ca6/productimages/singlepackshot/193619C01_RGB.png</v>
      </c>
    </row>
    <row r="1458" spans="1:4" x14ac:dyDescent="0.25">
      <c r="A1458" s="3" t="s">
        <v>1460</v>
      </c>
      <c r="B1458" s="4">
        <v>69</v>
      </c>
      <c r="C1458" s="3" t="str">
        <f ca="1">IFERROR(ROWSDUMMYFUNCTION(IF(A1458="","",IFERROR(IMAGE(CONCATENATE("https://us.pandora.net/on/demandware.static/-/Sites-pandora-master-catalog/default/dwbb259ca6/productimages/singlepackshot/",LEFT(A1458,FIND("-",A1458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58" s="5" t="str">
        <f ca="1">IFERROR(ROWSDUMMYFUNCTION(IF(A1458="","",CONCATENATE("https://us.pandora.net/on/demandware.static/-/Sites-pandora-master-catalog/default/dwbb259ca6/productimages/singlepackshot/",LEFT(A1458,FIND("-",A1458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59" spans="1:4" x14ac:dyDescent="0.25">
      <c r="A1459" s="3" t="s">
        <v>1461</v>
      </c>
      <c r="B1459" s="4">
        <v>69</v>
      </c>
      <c r="C1459" s="3" t="str">
        <f ca="1">IFERROR(ROWSDUMMYFUNCTION(IF(A1459="","",IFERROR(IMAGE(CONCATENATE("https://us.pandora.net/on/demandware.static/-/Sites-pandora-master-catalog/default/dwbb259ca6/productimages/singlepackshot/",LEFT(A1459,FIND("-",A1459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59" s="5" t="str">
        <f ca="1">IFERROR(ROWSDUMMYFUNCTION(IF(A1459="","",CONCATENATE("https://us.pandora.net/on/demandware.static/-/Sites-pandora-master-catalog/default/dwbb259ca6/productimages/singlepackshot/",LEFT(A1459,FIND("-",A1459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60" spans="1:4" x14ac:dyDescent="0.25">
      <c r="A1460" s="3" t="s">
        <v>1462</v>
      </c>
      <c r="B1460" s="4">
        <v>69</v>
      </c>
      <c r="C1460" s="3" t="str">
        <f ca="1">IFERROR(ROWSDUMMYFUNCTION(IF(A1460="","",IFERROR(IMAGE(CONCATENATE("https://us.pandora.net/on/demandware.static/-/Sites-pandora-master-catalog/default/dwbb259ca6/productimages/singlepackshot/",LEFT(A1460,FIND("-",A1460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60" s="5" t="str">
        <f ca="1">IFERROR(ROWSDUMMYFUNCTION(IF(A1460="","",CONCATENATE("https://us.pandora.net/on/demandware.static/-/Sites-pandora-master-catalog/default/dwbb259ca6/productimages/singlepackshot/",LEFT(A1460,FIND("-",A1460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61" spans="1:4" x14ac:dyDescent="0.25">
      <c r="A1461" s="3" t="s">
        <v>1463</v>
      </c>
      <c r="B1461" s="4">
        <v>69</v>
      </c>
      <c r="C1461" s="3" t="str">
        <f ca="1">IFERROR(ROWSDUMMYFUNCTION(IF(A1461="","",IFERROR(IMAGE(CONCATENATE("https://us.pandora.net/on/demandware.static/-/Sites-pandora-master-catalog/default/dwbb259ca6/productimages/singlepackshot/",LEFT(A1461,FIND("-",A1461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61" s="5" t="str">
        <f ca="1">IFERROR(ROWSDUMMYFUNCTION(IF(A1461="","",CONCATENATE("https://us.pandora.net/on/demandware.static/-/Sites-pandora-master-catalog/default/dwbb259ca6/productimages/singlepackshot/",LEFT(A1461,FIND("-",A1461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62" spans="1:4" x14ac:dyDescent="0.25">
      <c r="A1462" s="3" t="s">
        <v>1464</v>
      </c>
      <c r="B1462" s="4">
        <v>69</v>
      </c>
      <c r="C1462" s="3" t="str">
        <f ca="1">IFERROR(ROWSDUMMYFUNCTION(IF(A1462="","",IFERROR(IMAGE(CONCATENATE("https://us.pandora.net/on/demandware.static/-/Sites-pandora-master-catalog/default/dwbb259ca6/productimages/singlepackshot/",LEFT(A1462,FIND("-",A1462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62" s="5" t="str">
        <f ca="1">IFERROR(ROWSDUMMYFUNCTION(IF(A1462="","",CONCATENATE("https://us.pandora.net/on/demandware.static/-/Sites-pandora-master-catalog/default/dwbb259ca6/productimages/singlepackshot/",LEFT(A1462,FIND("-",A1462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63" spans="1:4" x14ac:dyDescent="0.25">
      <c r="A1463" s="3" t="s">
        <v>1465</v>
      </c>
      <c r="B1463" s="4">
        <v>69</v>
      </c>
      <c r="C1463" s="3" t="str">
        <f ca="1">IFERROR(ROWSDUMMYFUNCTION(IF(A1463="","",IFERROR(IMAGE(CONCATENATE("https://us.pandora.net/on/demandware.static/-/Sites-pandora-master-catalog/default/dwbb259ca6/productimages/singlepackshot/",LEFT(A1463,FIND("-",A1463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63" s="5" t="str">
        <f ca="1">IFERROR(ROWSDUMMYFUNCTION(IF(A1463="","",CONCATENATE("https://us.pandora.net/on/demandware.static/-/Sites-pandora-master-catalog/default/dwbb259ca6/productimages/singlepackshot/",LEFT(A1463,FIND("-",A1463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64" spans="1:4" x14ac:dyDescent="0.25">
      <c r="A1464" s="3" t="s">
        <v>1466</v>
      </c>
      <c r="B1464" s="4">
        <v>69</v>
      </c>
      <c r="C1464" s="3" t="str">
        <f ca="1">IFERROR(ROWSDUMMYFUNCTION(IF(A1464="","",IFERROR(IMAGE(CONCATENATE("https://us.pandora.net/on/demandware.static/-/Sites-pandora-master-catalog/default/dwbb259ca6/productimages/singlepackshot/",LEFT(A1464,FIND("-",A1464&amp;"-")-1),"_RGB.png")),""))),"{""url"":""https://us.pandora.net/on/demandware.static/-/Sites-pandora-master-catalog/default/dwbb259ca6/productimages/singlepackshot/193652C01_RGB.png"",""mode"":1}")</f>
        <v>{"url":"https://us.pandora.net/on/demandware.static/-/Sites-pandora-master-catalog/default/dwbb259ca6/productimages/singlepackshot/193652C01_RGB.png","mode":1}</v>
      </c>
      <c r="D1464" s="5" t="str">
        <f ca="1">IFERROR(ROWSDUMMYFUNCTION(IF(A1464="","",CONCATENATE("https://us.pandora.net/on/demandware.static/-/Sites-pandora-master-catalog/default/dwbb259ca6/productimages/singlepackshot/",LEFT(A1464,FIND("-",A1464&amp;"-")-1),"_RGB.png"))),"https://us.pandora.net/on/demandware.static/-/Sites-pandora-master-catalog/default/dwbb259ca6/productimages/singlepackshot/193652C01_RGB.png")</f>
        <v>https://us.pandora.net/on/demandware.static/-/Sites-pandora-master-catalog/default/dwbb259ca6/productimages/singlepackshot/193652C01_RGB.png</v>
      </c>
    </row>
    <row r="1465" spans="1:4" x14ac:dyDescent="0.25">
      <c r="A1465" s="3" t="s">
        <v>1467</v>
      </c>
      <c r="B1465" s="4">
        <v>69</v>
      </c>
      <c r="C1465" s="3" t="str">
        <f ca="1">IFERROR(ROWSDUMMYFUNCTION(IF(A1465="","",IFERROR(IMAGE(CONCATENATE("https://us.pandora.net/on/demandware.static/-/Sites-pandora-master-catalog/default/dwbb259ca6/productimages/singlepackshot/",LEFT(A1465,FIND("-",A1465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65" s="5" t="str">
        <f ca="1">IFERROR(ROWSDUMMYFUNCTION(IF(A1465="","",CONCATENATE("https://us.pandora.net/on/demandware.static/-/Sites-pandora-master-catalog/default/dwbb259ca6/productimages/singlepackshot/",LEFT(A1465,FIND("-",A1465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66" spans="1:4" x14ac:dyDescent="0.25">
      <c r="A1466" s="3" t="s">
        <v>1468</v>
      </c>
      <c r="B1466" s="4">
        <v>69</v>
      </c>
      <c r="C1466" s="3" t="str">
        <f ca="1">IFERROR(ROWSDUMMYFUNCTION(IF(A1466="","",IFERROR(IMAGE(CONCATENATE("https://us.pandora.net/on/demandware.static/-/Sites-pandora-master-catalog/default/dwbb259ca6/productimages/singlepackshot/",LEFT(A1466,FIND("-",A1466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66" s="5" t="str">
        <f ca="1">IFERROR(ROWSDUMMYFUNCTION(IF(A1466="","",CONCATENATE("https://us.pandora.net/on/demandware.static/-/Sites-pandora-master-catalog/default/dwbb259ca6/productimages/singlepackshot/",LEFT(A1466,FIND("-",A1466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67" spans="1:4" x14ac:dyDescent="0.25">
      <c r="A1467" s="3" t="s">
        <v>1469</v>
      </c>
      <c r="B1467" s="4">
        <v>69</v>
      </c>
      <c r="C1467" s="3" t="str">
        <f ca="1">IFERROR(ROWSDUMMYFUNCTION(IF(A1467="","",IFERROR(IMAGE(CONCATENATE("https://us.pandora.net/on/demandware.static/-/Sites-pandora-master-catalog/default/dwbb259ca6/productimages/singlepackshot/",LEFT(A1467,FIND("-",A1467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67" s="5" t="str">
        <f ca="1">IFERROR(ROWSDUMMYFUNCTION(IF(A1467="","",CONCATENATE("https://us.pandora.net/on/demandware.static/-/Sites-pandora-master-catalog/default/dwbb259ca6/productimages/singlepackshot/",LEFT(A1467,FIND("-",A1467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68" spans="1:4" x14ac:dyDescent="0.25">
      <c r="A1468" s="3" t="s">
        <v>1470</v>
      </c>
      <c r="B1468" s="4">
        <v>69</v>
      </c>
      <c r="C1468" s="3" t="str">
        <f ca="1">IFERROR(ROWSDUMMYFUNCTION(IF(A1468="","",IFERROR(IMAGE(CONCATENATE("https://us.pandora.net/on/demandware.static/-/Sites-pandora-master-catalog/default/dwbb259ca6/productimages/singlepackshot/",LEFT(A1468,FIND("-",A1468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68" s="5" t="str">
        <f ca="1">IFERROR(ROWSDUMMYFUNCTION(IF(A1468="","",CONCATENATE("https://us.pandora.net/on/demandware.static/-/Sites-pandora-master-catalog/default/dwbb259ca6/productimages/singlepackshot/",LEFT(A1468,FIND("-",A1468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69" spans="1:4" x14ac:dyDescent="0.25">
      <c r="A1469" s="3" t="s">
        <v>1471</v>
      </c>
      <c r="B1469" s="4">
        <v>69</v>
      </c>
      <c r="C1469" s="3" t="str">
        <f ca="1">IFERROR(ROWSDUMMYFUNCTION(IF(A1469="","",IFERROR(IMAGE(CONCATENATE("https://us.pandora.net/on/demandware.static/-/Sites-pandora-master-catalog/default/dwbb259ca6/productimages/singlepackshot/",LEFT(A1469,FIND("-",A1469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69" s="5" t="str">
        <f ca="1">IFERROR(ROWSDUMMYFUNCTION(IF(A1469="","",CONCATENATE("https://us.pandora.net/on/demandware.static/-/Sites-pandora-master-catalog/default/dwbb259ca6/productimages/singlepackshot/",LEFT(A1469,FIND("-",A1469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70" spans="1:4" x14ac:dyDescent="0.25">
      <c r="A1470" s="3" t="s">
        <v>1472</v>
      </c>
      <c r="B1470" s="4">
        <v>69</v>
      </c>
      <c r="C1470" s="3" t="str">
        <f ca="1">IFERROR(ROWSDUMMYFUNCTION(IF(A1470="","",IFERROR(IMAGE(CONCATENATE("https://us.pandora.net/on/demandware.static/-/Sites-pandora-master-catalog/default/dwbb259ca6/productimages/singlepackshot/",LEFT(A1470,FIND("-",A1470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70" s="5" t="str">
        <f ca="1">IFERROR(ROWSDUMMYFUNCTION(IF(A1470="","",CONCATENATE("https://us.pandora.net/on/demandware.static/-/Sites-pandora-master-catalog/default/dwbb259ca6/productimages/singlepackshot/",LEFT(A1470,FIND("-",A1470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71" spans="1:4" x14ac:dyDescent="0.25">
      <c r="A1471" s="3" t="s">
        <v>1473</v>
      </c>
      <c r="B1471" s="4">
        <v>69</v>
      </c>
      <c r="C1471" s="3" t="str">
        <f ca="1">IFERROR(ROWSDUMMYFUNCTION(IF(A1471="","",IFERROR(IMAGE(CONCATENATE("https://us.pandora.net/on/demandware.static/-/Sites-pandora-master-catalog/default/dwbb259ca6/productimages/singlepackshot/",LEFT(A1471,FIND("-",A1471&amp;"-")-1),"_RGB.png")),""))),"{""url"":""https://us.pandora.net/on/demandware.static/-/Sites-pandora-master-catalog/default/dwbb259ca6/productimages/singlepackshot/193653C01_RGB.png"",""mode"":1}")</f>
        <v>{"url":"https://us.pandora.net/on/demandware.static/-/Sites-pandora-master-catalog/default/dwbb259ca6/productimages/singlepackshot/193653C01_RGB.png","mode":1}</v>
      </c>
      <c r="D1471" s="5" t="str">
        <f ca="1">IFERROR(ROWSDUMMYFUNCTION(IF(A1471="","",CONCATENATE("https://us.pandora.net/on/demandware.static/-/Sites-pandora-master-catalog/default/dwbb259ca6/productimages/singlepackshot/",LEFT(A1471,FIND("-",A1471&amp;"-")-1),"_RGB.png"))),"https://us.pandora.net/on/demandware.static/-/Sites-pandora-master-catalog/default/dwbb259ca6/productimages/singlepackshot/193653C01_RGB.png")</f>
        <v>https://us.pandora.net/on/demandware.static/-/Sites-pandora-master-catalog/default/dwbb259ca6/productimages/singlepackshot/193653C01_RGB.png</v>
      </c>
    </row>
    <row r="1472" spans="1:4" x14ac:dyDescent="0.25">
      <c r="A1472" s="3" t="s">
        <v>1474</v>
      </c>
      <c r="B1472" s="4">
        <v>69</v>
      </c>
      <c r="C1472" s="3" t="str">
        <f ca="1">IFERROR(ROWSDUMMYFUNCTION(IF(A1472="","",IFERROR(IMAGE(CONCATENATE("https://us.pandora.net/on/demandware.static/-/Sites-pandora-master-catalog/default/dwbb259ca6/productimages/singlepackshot/",LEFT(A1472,FIND("-",A1472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2" s="5" t="str">
        <f ca="1">IFERROR(ROWSDUMMYFUNCTION(IF(A1472="","",CONCATENATE("https://us.pandora.net/on/demandware.static/-/Sites-pandora-master-catalog/default/dwbb259ca6/productimages/singlepackshot/",LEFT(A1472,FIND("-",A1472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3" spans="1:4" x14ac:dyDescent="0.25">
      <c r="A1473" s="3" t="s">
        <v>1475</v>
      </c>
      <c r="B1473" s="4">
        <v>69</v>
      </c>
      <c r="C1473" s="3" t="str">
        <f ca="1">IFERROR(ROWSDUMMYFUNCTION(IF(A1473="","",IFERROR(IMAGE(CONCATENATE("https://us.pandora.net/on/demandware.static/-/Sites-pandora-master-catalog/default/dwbb259ca6/productimages/singlepackshot/",LEFT(A1473,FIND("-",A1473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3" s="5" t="str">
        <f ca="1">IFERROR(ROWSDUMMYFUNCTION(IF(A1473="","",CONCATENATE("https://us.pandora.net/on/demandware.static/-/Sites-pandora-master-catalog/default/dwbb259ca6/productimages/singlepackshot/",LEFT(A1473,FIND("-",A1473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4" spans="1:4" x14ac:dyDescent="0.25">
      <c r="A1474" s="3" t="s">
        <v>1476</v>
      </c>
      <c r="B1474" s="4">
        <v>69</v>
      </c>
      <c r="C1474" s="3" t="str">
        <f ca="1">IFERROR(ROWSDUMMYFUNCTION(IF(A1474="","",IFERROR(IMAGE(CONCATENATE("https://us.pandora.net/on/demandware.static/-/Sites-pandora-master-catalog/default/dwbb259ca6/productimages/singlepackshot/",LEFT(A1474,FIND("-",A1474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4" s="5" t="str">
        <f ca="1">IFERROR(ROWSDUMMYFUNCTION(IF(A1474="","",CONCATENATE("https://us.pandora.net/on/demandware.static/-/Sites-pandora-master-catalog/default/dwbb259ca6/productimages/singlepackshot/",LEFT(A1474,FIND("-",A1474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5" spans="1:4" x14ac:dyDescent="0.25">
      <c r="A1475" s="3" t="s">
        <v>1477</v>
      </c>
      <c r="B1475" s="4">
        <v>69</v>
      </c>
      <c r="C1475" s="3" t="str">
        <f ca="1">IFERROR(ROWSDUMMYFUNCTION(IF(A1475="","",IFERROR(IMAGE(CONCATENATE("https://us.pandora.net/on/demandware.static/-/Sites-pandora-master-catalog/default/dwbb259ca6/productimages/singlepackshot/",LEFT(A1475,FIND("-",A1475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5" s="5" t="str">
        <f ca="1">IFERROR(ROWSDUMMYFUNCTION(IF(A1475="","",CONCATENATE("https://us.pandora.net/on/demandware.static/-/Sites-pandora-master-catalog/default/dwbb259ca6/productimages/singlepackshot/",LEFT(A1475,FIND("-",A1475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6" spans="1:4" x14ac:dyDescent="0.25">
      <c r="A1476" s="3" t="s">
        <v>1478</v>
      </c>
      <c r="B1476" s="4">
        <v>69</v>
      </c>
      <c r="C1476" s="3" t="str">
        <f ca="1">IFERROR(ROWSDUMMYFUNCTION(IF(A1476="","",IFERROR(IMAGE(CONCATENATE("https://us.pandora.net/on/demandware.static/-/Sites-pandora-master-catalog/default/dwbb259ca6/productimages/singlepackshot/",LEFT(A1476,FIND("-",A1476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6" s="5" t="str">
        <f ca="1">IFERROR(ROWSDUMMYFUNCTION(IF(A1476="","",CONCATENATE("https://us.pandora.net/on/demandware.static/-/Sites-pandora-master-catalog/default/dwbb259ca6/productimages/singlepackshot/",LEFT(A1476,FIND("-",A1476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7" spans="1:4" x14ac:dyDescent="0.25">
      <c r="A1477" s="3" t="s">
        <v>1479</v>
      </c>
      <c r="B1477" s="4">
        <v>69</v>
      </c>
      <c r="C1477" s="3" t="str">
        <f ca="1">IFERROR(ROWSDUMMYFUNCTION(IF(A1477="","",IFERROR(IMAGE(CONCATENATE("https://us.pandora.net/on/demandware.static/-/Sites-pandora-master-catalog/default/dwbb259ca6/productimages/singlepackshot/",LEFT(A1477,FIND("-",A1477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7" s="5" t="str">
        <f ca="1">IFERROR(ROWSDUMMYFUNCTION(IF(A1477="","",CONCATENATE("https://us.pandora.net/on/demandware.static/-/Sites-pandora-master-catalog/default/dwbb259ca6/productimages/singlepackshot/",LEFT(A1477,FIND("-",A1477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8" spans="1:4" x14ac:dyDescent="0.25">
      <c r="A1478" s="3" t="s">
        <v>1480</v>
      </c>
      <c r="B1478" s="4">
        <v>69</v>
      </c>
      <c r="C1478" s="3" t="str">
        <f ca="1">IFERROR(ROWSDUMMYFUNCTION(IF(A1478="","",IFERROR(IMAGE(CONCATENATE("https://us.pandora.net/on/demandware.static/-/Sites-pandora-master-catalog/default/dwbb259ca6/productimages/singlepackshot/",LEFT(A1478,FIND("-",A1478&amp;"-")-1),"_RGB.png")),""))),"{""url"":""https://us.pandora.net/on/demandware.static/-/Sites-pandora-master-catalog/default/dwbb259ca6/productimages/singlepackshot/193654C01_RGB.png"",""mode"":1}")</f>
        <v>{"url":"https://us.pandora.net/on/demandware.static/-/Sites-pandora-master-catalog/default/dwbb259ca6/productimages/singlepackshot/193654C01_RGB.png","mode":1}</v>
      </c>
      <c r="D1478" s="5" t="str">
        <f ca="1">IFERROR(ROWSDUMMYFUNCTION(IF(A1478="","",CONCATENATE("https://us.pandora.net/on/demandware.static/-/Sites-pandora-master-catalog/default/dwbb259ca6/productimages/singlepackshot/",LEFT(A1478,FIND("-",A1478&amp;"-")-1),"_RGB.png"))),"https://us.pandora.net/on/demandware.static/-/Sites-pandora-master-catalog/default/dwbb259ca6/productimages/singlepackshot/193654C01_RGB.png")</f>
        <v>https://us.pandora.net/on/demandware.static/-/Sites-pandora-master-catalog/default/dwbb259ca6/productimages/singlepackshot/193654C01_RGB.png</v>
      </c>
    </row>
    <row r="1479" spans="1:4" x14ac:dyDescent="0.25">
      <c r="A1479" s="3" t="s">
        <v>1481</v>
      </c>
      <c r="B1479" s="4">
        <v>99</v>
      </c>
      <c r="C1479" s="3" t="str">
        <f ca="1">IFERROR(ROWSDUMMYFUNCTION(IF(A1479="","",IFERROR(IMAGE(CONCATENATE("https://us.pandora.net/on/demandware.static/-/Sites-pandora-master-catalog/default/dwbb259ca6/productimages/singlepackshot/",LEFT(A1479,FIND("-",A1479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79" s="5" t="str">
        <f ca="1">IFERROR(ROWSDUMMYFUNCTION(IF(A1479="","",CONCATENATE("https://us.pandora.net/on/demandware.static/-/Sites-pandora-master-catalog/default/dwbb259ca6/productimages/singlepackshot/",LEFT(A1479,FIND("-",A1479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0" spans="1:4" x14ac:dyDescent="0.25">
      <c r="A1480" s="3" t="s">
        <v>1482</v>
      </c>
      <c r="B1480" s="4">
        <v>99</v>
      </c>
      <c r="C1480" s="3" t="str">
        <f ca="1">IFERROR(ROWSDUMMYFUNCTION(IF(A1480="","",IFERROR(IMAGE(CONCATENATE("https://us.pandora.net/on/demandware.static/-/Sites-pandora-master-catalog/default/dwbb259ca6/productimages/singlepackshot/",LEFT(A1480,FIND("-",A1480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80" s="5" t="str">
        <f ca="1">IFERROR(ROWSDUMMYFUNCTION(IF(A1480="","",CONCATENATE("https://us.pandora.net/on/demandware.static/-/Sites-pandora-master-catalog/default/dwbb259ca6/productimages/singlepackshot/",LEFT(A1480,FIND("-",A1480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1" spans="1:4" x14ac:dyDescent="0.25">
      <c r="A1481" s="3" t="s">
        <v>1483</v>
      </c>
      <c r="B1481" s="4">
        <v>99</v>
      </c>
      <c r="C1481" s="3" t="str">
        <f ca="1">IFERROR(ROWSDUMMYFUNCTION(IF(A1481="","",IFERROR(IMAGE(CONCATENATE("https://us.pandora.net/on/demandware.static/-/Sites-pandora-master-catalog/default/dwbb259ca6/productimages/singlepackshot/",LEFT(A1481,FIND("-",A1481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81" s="5" t="str">
        <f ca="1">IFERROR(ROWSDUMMYFUNCTION(IF(A1481="","",CONCATENATE("https://us.pandora.net/on/demandware.static/-/Sites-pandora-master-catalog/default/dwbb259ca6/productimages/singlepackshot/",LEFT(A1481,FIND("-",A1481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2" spans="1:4" x14ac:dyDescent="0.25">
      <c r="A1482" s="3" t="s">
        <v>1484</v>
      </c>
      <c r="B1482" s="4">
        <v>99</v>
      </c>
      <c r="C1482" s="3" t="str">
        <f ca="1">IFERROR(ROWSDUMMYFUNCTION(IF(A1482="","",IFERROR(IMAGE(CONCATENATE("https://us.pandora.net/on/demandware.static/-/Sites-pandora-master-catalog/default/dwbb259ca6/productimages/singlepackshot/",LEFT(A1482,FIND("-",A1482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82" s="5" t="str">
        <f ca="1">IFERROR(ROWSDUMMYFUNCTION(IF(A1482="","",CONCATENATE("https://us.pandora.net/on/demandware.static/-/Sites-pandora-master-catalog/default/dwbb259ca6/productimages/singlepackshot/",LEFT(A1482,FIND("-",A1482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3" spans="1:4" x14ac:dyDescent="0.25">
      <c r="A1483" s="3" t="s">
        <v>1485</v>
      </c>
      <c r="B1483" s="4">
        <v>99</v>
      </c>
      <c r="C1483" s="3" t="str">
        <f ca="1">IFERROR(ROWSDUMMYFUNCTION(IF(A1483="","",IFERROR(IMAGE(CONCATENATE("https://us.pandora.net/on/demandware.static/-/Sites-pandora-master-catalog/default/dwbb259ca6/productimages/singlepackshot/",LEFT(A1483,FIND("-",A1483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83" s="5" t="str">
        <f ca="1">IFERROR(ROWSDUMMYFUNCTION(IF(A1483="","",CONCATENATE("https://us.pandora.net/on/demandware.static/-/Sites-pandora-master-catalog/default/dwbb259ca6/productimages/singlepackshot/",LEFT(A1483,FIND("-",A1483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4" spans="1:4" x14ac:dyDescent="0.25">
      <c r="A1484" s="3" t="s">
        <v>1486</v>
      </c>
      <c r="B1484" s="4">
        <v>99</v>
      </c>
      <c r="C1484" s="3" t="str">
        <f ca="1">IFERROR(ROWSDUMMYFUNCTION(IF(A1484="","",IFERROR(IMAGE(CONCATENATE("https://us.pandora.net/on/demandware.static/-/Sites-pandora-master-catalog/default/dwbb259ca6/productimages/singlepackshot/",LEFT(A1484,FIND("-",A1484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84" s="5" t="str">
        <f ca="1">IFERROR(ROWSDUMMYFUNCTION(IF(A1484="","",CONCATENATE("https://us.pandora.net/on/demandware.static/-/Sites-pandora-master-catalog/default/dwbb259ca6/productimages/singlepackshot/",LEFT(A1484,FIND("-",A1484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5" spans="1:4" x14ac:dyDescent="0.25">
      <c r="A1485" s="3" t="s">
        <v>1487</v>
      </c>
      <c r="B1485" s="4">
        <v>99</v>
      </c>
      <c r="C1485" s="3" t="str">
        <f ca="1">IFERROR(ROWSDUMMYFUNCTION(IF(A1485="","",IFERROR(IMAGE(CONCATENATE("https://us.pandora.net/on/demandware.static/-/Sites-pandora-master-catalog/default/dwbb259ca6/productimages/singlepackshot/",LEFT(A1485,FIND("-",A1485&amp;"-")-1),"_RGB.png")),""))),"{""url"":""https://us.pandora.net/on/demandware.static/-/Sites-pandora-master-catalog/default/dwbb259ca6/productimages/singlepackshot/193659C01_RGB.png"",""mode"":1}")</f>
        <v>{"url":"https://us.pandora.net/on/demandware.static/-/Sites-pandora-master-catalog/default/dwbb259ca6/productimages/singlepackshot/193659C01_RGB.png","mode":1}</v>
      </c>
      <c r="D1485" s="5" t="str">
        <f ca="1">IFERROR(ROWSDUMMYFUNCTION(IF(A1485="","",CONCATENATE("https://us.pandora.net/on/demandware.static/-/Sites-pandora-master-catalog/default/dwbb259ca6/productimages/singlepackshot/",LEFT(A1485,FIND("-",A1485&amp;"-")-1),"_RGB.png"))),"https://us.pandora.net/on/demandware.static/-/Sites-pandora-master-catalog/default/dwbb259ca6/productimages/singlepackshot/193659C01_RGB.png")</f>
        <v>https://us.pandora.net/on/demandware.static/-/Sites-pandora-master-catalog/default/dwbb259ca6/productimages/singlepackshot/193659C01_RGB.png</v>
      </c>
    </row>
    <row r="1486" spans="1:4" x14ac:dyDescent="0.25">
      <c r="A1486" s="3" t="s">
        <v>1488</v>
      </c>
      <c r="B1486" s="4">
        <v>69</v>
      </c>
      <c r="C1486" s="3" t="str">
        <f ca="1">IFERROR(ROWSDUMMYFUNCTION(IF(A1486="","",IFERROR(IMAGE(CONCATENATE("https://us.pandora.net/on/demandware.static/-/Sites-pandora-master-catalog/default/dwbb259ca6/productimages/singlepackshot/",LEFT(A1486,FIND("-",A1486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86" s="5" t="str">
        <f ca="1">IFERROR(ROWSDUMMYFUNCTION(IF(A1486="","",CONCATENATE("https://us.pandora.net/on/demandware.static/-/Sites-pandora-master-catalog/default/dwbb259ca6/productimages/singlepackshot/",LEFT(A1486,FIND("-",A1486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87" spans="1:4" x14ac:dyDescent="0.25">
      <c r="A1487" s="3" t="s">
        <v>1489</v>
      </c>
      <c r="B1487" s="4">
        <v>69</v>
      </c>
      <c r="C1487" s="3" t="str">
        <f ca="1">IFERROR(ROWSDUMMYFUNCTION(IF(A1487="","",IFERROR(IMAGE(CONCATENATE("https://us.pandora.net/on/demandware.static/-/Sites-pandora-master-catalog/default/dwbb259ca6/productimages/singlepackshot/",LEFT(A1487,FIND("-",A1487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87" s="5" t="str">
        <f ca="1">IFERROR(ROWSDUMMYFUNCTION(IF(A1487="","",CONCATENATE("https://us.pandora.net/on/demandware.static/-/Sites-pandora-master-catalog/default/dwbb259ca6/productimages/singlepackshot/",LEFT(A1487,FIND("-",A1487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88" spans="1:4" x14ac:dyDescent="0.25">
      <c r="A1488" s="3" t="s">
        <v>1490</v>
      </c>
      <c r="B1488" s="4">
        <v>69</v>
      </c>
      <c r="C1488" s="3" t="str">
        <f ca="1">IFERROR(ROWSDUMMYFUNCTION(IF(A1488="","",IFERROR(IMAGE(CONCATENATE("https://us.pandora.net/on/demandware.static/-/Sites-pandora-master-catalog/default/dwbb259ca6/productimages/singlepackshot/",LEFT(A1488,FIND("-",A1488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88" s="5" t="str">
        <f ca="1">IFERROR(ROWSDUMMYFUNCTION(IF(A1488="","",CONCATENATE("https://us.pandora.net/on/demandware.static/-/Sites-pandora-master-catalog/default/dwbb259ca6/productimages/singlepackshot/",LEFT(A1488,FIND("-",A1488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89" spans="1:4" x14ac:dyDescent="0.25">
      <c r="A1489" s="3" t="s">
        <v>1491</v>
      </c>
      <c r="B1489" s="4">
        <v>69</v>
      </c>
      <c r="C1489" s="3" t="str">
        <f ca="1">IFERROR(ROWSDUMMYFUNCTION(IF(A1489="","",IFERROR(IMAGE(CONCATENATE("https://us.pandora.net/on/demandware.static/-/Sites-pandora-master-catalog/default/dwbb259ca6/productimages/singlepackshot/",LEFT(A1489,FIND("-",A1489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89" s="5" t="str">
        <f ca="1">IFERROR(ROWSDUMMYFUNCTION(IF(A1489="","",CONCATENATE("https://us.pandora.net/on/demandware.static/-/Sites-pandora-master-catalog/default/dwbb259ca6/productimages/singlepackshot/",LEFT(A1489,FIND("-",A1489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90" spans="1:4" x14ac:dyDescent="0.25">
      <c r="A1490" s="3" t="s">
        <v>1492</v>
      </c>
      <c r="B1490" s="4">
        <v>69</v>
      </c>
      <c r="C1490" s="3" t="str">
        <f ca="1">IFERROR(ROWSDUMMYFUNCTION(IF(A1490="","",IFERROR(IMAGE(CONCATENATE("https://us.pandora.net/on/demandware.static/-/Sites-pandora-master-catalog/default/dwbb259ca6/productimages/singlepackshot/",LEFT(A1490,FIND("-",A1490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90" s="5" t="str">
        <f ca="1">IFERROR(ROWSDUMMYFUNCTION(IF(A1490="","",CONCATENATE("https://us.pandora.net/on/demandware.static/-/Sites-pandora-master-catalog/default/dwbb259ca6/productimages/singlepackshot/",LEFT(A1490,FIND("-",A1490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91" spans="1:4" x14ac:dyDescent="0.25">
      <c r="A1491" s="3" t="s">
        <v>1493</v>
      </c>
      <c r="B1491" s="4">
        <v>69</v>
      </c>
      <c r="C1491" s="3" t="str">
        <f ca="1">IFERROR(ROWSDUMMYFUNCTION(IF(A1491="","",IFERROR(IMAGE(CONCATENATE("https://us.pandora.net/on/demandware.static/-/Sites-pandora-master-catalog/default/dwbb259ca6/productimages/singlepackshot/",LEFT(A1491,FIND("-",A1491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91" s="5" t="str">
        <f ca="1">IFERROR(ROWSDUMMYFUNCTION(IF(A1491="","",CONCATENATE("https://us.pandora.net/on/demandware.static/-/Sites-pandora-master-catalog/default/dwbb259ca6/productimages/singlepackshot/",LEFT(A1491,FIND("-",A1491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92" spans="1:4" x14ac:dyDescent="0.25">
      <c r="A1492" s="3" t="s">
        <v>1494</v>
      </c>
      <c r="B1492" s="4">
        <v>69</v>
      </c>
      <c r="C1492" s="3" t="str">
        <f ca="1">IFERROR(ROWSDUMMYFUNCTION(IF(A1492="","",IFERROR(IMAGE(CONCATENATE("https://us.pandora.net/on/demandware.static/-/Sites-pandora-master-catalog/default/dwbb259ca6/productimages/singlepackshot/",LEFT(A1492,FIND("-",A1492&amp;"-")-1),"_RGB.png")),""))),"{""url"":""https://us.pandora.net/on/demandware.static/-/Sites-pandora-master-catalog/default/dwbb259ca6/productimages/singlepackshot/193661C01_RGB.png"",""mode"":1}")</f>
        <v>{"url":"https://us.pandora.net/on/demandware.static/-/Sites-pandora-master-catalog/default/dwbb259ca6/productimages/singlepackshot/193661C01_RGB.png","mode":1}</v>
      </c>
      <c r="D1492" s="5" t="str">
        <f ca="1">IFERROR(ROWSDUMMYFUNCTION(IF(A1492="","",CONCATENATE("https://us.pandora.net/on/demandware.static/-/Sites-pandora-master-catalog/default/dwbb259ca6/productimages/singlepackshot/",LEFT(A1492,FIND("-",A1492&amp;"-")-1),"_RGB.png"))),"https://us.pandora.net/on/demandware.static/-/Sites-pandora-master-catalog/default/dwbb259ca6/productimages/singlepackshot/193661C01_RGB.png")</f>
        <v>https://us.pandora.net/on/demandware.static/-/Sites-pandora-master-catalog/default/dwbb259ca6/productimages/singlepackshot/193661C01_RGB.png</v>
      </c>
    </row>
    <row r="1493" spans="1:4" x14ac:dyDescent="0.25">
      <c r="A1493" s="3" t="s">
        <v>1495</v>
      </c>
      <c r="B1493" s="4">
        <v>89</v>
      </c>
      <c r="C1493" s="3" t="str">
        <f ca="1">IFERROR(ROWSDUMMYFUNCTION(IF(A1493="","",IFERROR(IMAGE(CONCATENATE("https://us.pandora.net/on/demandware.static/-/Sites-pandora-master-catalog/default/dwbb259ca6/productimages/singlepackshot/",LEFT(A1493,FIND("-",A1493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3" s="5" t="str">
        <f ca="1">IFERROR(ROWSDUMMYFUNCTION(IF(A1493="","",CONCATENATE("https://us.pandora.net/on/demandware.static/-/Sites-pandora-master-catalog/default/dwbb259ca6/productimages/singlepackshot/",LEFT(A1493,FIND("-",A1493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494" spans="1:4" x14ac:dyDescent="0.25">
      <c r="A1494" s="3" t="s">
        <v>1496</v>
      </c>
      <c r="B1494" s="4">
        <v>89</v>
      </c>
      <c r="C1494" s="3" t="str">
        <f ca="1">IFERROR(ROWSDUMMYFUNCTION(IF(A1494="","",IFERROR(IMAGE(CONCATENATE("https://us.pandora.net/on/demandware.static/-/Sites-pandora-master-catalog/default/dwbb259ca6/productimages/singlepackshot/",LEFT(A1494,FIND("-",A1494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4" s="5" t="str">
        <f ca="1">IFERROR(ROWSDUMMYFUNCTION(IF(A1494="","",CONCATENATE("https://us.pandora.net/on/demandware.static/-/Sites-pandora-master-catalog/default/dwbb259ca6/productimages/singlepackshot/",LEFT(A1494,FIND("-",A1494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495" spans="1:4" x14ac:dyDescent="0.25">
      <c r="A1495" s="3" t="s">
        <v>1497</v>
      </c>
      <c r="B1495" s="4">
        <v>89</v>
      </c>
      <c r="C1495" s="3" t="str">
        <f ca="1">IFERROR(ROWSDUMMYFUNCTION(IF(A1495="","",IFERROR(IMAGE(CONCATENATE("https://us.pandora.net/on/demandware.static/-/Sites-pandora-master-catalog/default/dwbb259ca6/productimages/singlepackshot/",LEFT(A1495,FIND("-",A1495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5" s="5" t="str">
        <f ca="1">IFERROR(ROWSDUMMYFUNCTION(IF(A1495="","",CONCATENATE("https://us.pandora.net/on/demandware.static/-/Sites-pandora-master-catalog/default/dwbb259ca6/productimages/singlepackshot/",LEFT(A1495,FIND("-",A1495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496" spans="1:4" x14ac:dyDescent="0.25">
      <c r="A1496" s="3" t="s">
        <v>1498</v>
      </c>
      <c r="B1496" s="4">
        <v>89</v>
      </c>
      <c r="C1496" s="3" t="str">
        <f ca="1">IFERROR(ROWSDUMMYFUNCTION(IF(A1496="","",IFERROR(IMAGE(CONCATENATE("https://us.pandora.net/on/demandware.static/-/Sites-pandora-master-catalog/default/dwbb259ca6/productimages/singlepackshot/",LEFT(A1496,FIND("-",A1496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6" s="5" t="str">
        <f ca="1">IFERROR(ROWSDUMMYFUNCTION(IF(A1496="","",CONCATENATE("https://us.pandora.net/on/demandware.static/-/Sites-pandora-master-catalog/default/dwbb259ca6/productimages/singlepackshot/",LEFT(A1496,FIND("-",A1496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497" spans="1:4" x14ac:dyDescent="0.25">
      <c r="A1497" s="3" t="s">
        <v>1499</v>
      </c>
      <c r="B1497" s="4">
        <v>89</v>
      </c>
      <c r="C1497" s="3" t="str">
        <f ca="1">IFERROR(ROWSDUMMYFUNCTION(IF(A1497="","",IFERROR(IMAGE(CONCATENATE("https://us.pandora.net/on/demandware.static/-/Sites-pandora-master-catalog/default/dwbb259ca6/productimages/singlepackshot/",LEFT(A1497,FIND("-",A1497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7" s="5" t="str">
        <f ca="1">IFERROR(ROWSDUMMYFUNCTION(IF(A1497="","",CONCATENATE("https://us.pandora.net/on/demandware.static/-/Sites-pandora-master-catalog/default/dwbb259ca6/productimages/singlepackshot/",LEFT(A1497,FIND("-",A1497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498" spans="1:4" x14ac:dyDescent="0.25">
      <c r="A1498" s="3" t="s">
        <v>1500</v>
      </c>
      <c r="B1498" s="4">
        <v>89</v>
      </c>
      <c r="C1498" s="3" t="str">
        <f ca="1">IFERROR(ROWSDUMMYFUNCTION(IF(A1498="","",IFERROR(IMAGE(CONCATENATE("https://us.pandora.net/on/demandware.static/-/Sites-pandora-master-catalog/default/dwbb259ca6/productimages/singlepackshot/",LEFT(A1498,FIND("-",A1498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8" s="5" t="str">
        <f ca="1">IFERROR(ROWSDUMMYFUNCTION(IF(A1498="","",CONCATENATE("https://us.pandora.net/on/demandware.static/-/Sites-pandora-master-catalog/default/dwbb259ca6/productimages/singlepackshot/",LEFT(A1498,FIND("-",A1498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499" spans="1:4" x14ac:dyDescent="0.25">
      <c r="A1499" s="3" t="s">
        <v>1501</v>
      </c>
      <c r="B1499" s="4">
        <v>89</v>
      </c>
      <c r="C1499" s="3" t="str">
        <f ca="1">IFERROR(ROWSDUMMYFUNCTION(IF(A1499="","",IFERROR(IMAGE(CONCATENATE("https://us.pandora.net/on/demandware.static/-/Sites-pandora-master-catalog/default/dwbb259ca6/productimages/singlepackshot/",LEFT(A1499,FIND("-",A1499&amp;"-")-1),"_RGB.png")),""))),"{""url"":""https://us.pandora.net/on/demandware.static/-/Sites-pandora-master-catalog/default/dwbb259ca6/productimages/singlepackshot/193662C01_RGB.png"",""mode"":1}")</f>
        <v>{"url":"https://us.pandora.net/on/demandware.static/-/Sites-pandora-master-catalog/default/dwbb259ca6/productimages/singlepackshot/193662C01_RGB.png","mode":1}</v>
      </c>
      <c r="D1499" s="5" t="str">
        <f ca="1">IFERROR(ROWSDUMMYFUNCTION(IF(A1499="","",CONCATENATE("https://us.pandora.net/on/demandware.static/-/Sites-pandora-master-catalog/default/dwbb259ca6/productimages/singlepackshot/",LEFT(A1499,FIND("-",A1499&amp;"-")-1),"_RGB.png"))),"https://us.pandora.net/on/demandware.static/-/Sites-pandora-master-catalog/default/dwbb259ca6/productimages/singlepackshot/193662C01_RGB.png")</f>
        <v>https://us.pandora.net/on/demandware.static/-/Sites-pandora-master-catalog/default/dwbb259ca6/productimages/singlepackshot/193662C01_RGB.png</v>
      </c>
    </row>
    <row r="1500" spans="1:4" x14ac:dyDescent="0.25">
      <c r="A1500" s="3" t="s">
        <v>1502</v>
      </c>
      <c r="B1500" s="4">
        <v>69</v>
      </c>
      <c r="C1500" s="3" t="str">
        <f ca="1">IFERROR(ROWSDUMMYFUNCTION(IF(A1500="","",IFERROR(IMAGE(CONCATENATE("https://us.pandora.net/on/demandware.static/-/Sites-pandora-master-catalog/default/dwbb259ca6/productimages/singlepackshot/",LEFT(A1500,FIND("-",A1500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0" s="5" t="str">
        <f ca="1">IFERROR(ROWSDUMMYFUNCTION(IF(A1500="","",CONCATENATE("https://us.pandora.net/on/demandware.static/-/Sites-pandora-master-catalog/default/dwbb259ca6/productimages/singlepackshot/",LEFT(A1500,FIND("-",A1500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1" spans="1:4" x14ac:dyDescent="0.25">
      <c r="A1501" s="3" t="s">
        <v>1503</v>
      </c>
      <c r="B1501" s="4">
        <v>69</v>
      </c>
      <c r="C1501" s="3" t="str">
        <f ca="1">IFERROR(ROWSDUMMYFUNCTION(IF(A1501="","",IFERROR(IMAGE(CONCATENATE("https://us.pandora.net/on/demandware.static/-/Sites-pandora-master-catalog/default/dwbb259ca6/productimages/singlepackshot/",LEFT(A1501,FIND("-",A1501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1" s="5" t="str">
        <f ca="1">IFERROR(ROWSDUMMYFUNCTION(IF(A1501="","",CONCATENATE("https://us.pandora.net/on/demandware.static/-/Sites-pandora-master-catalog/default/dwbb259ca6/productimages/singlepackshot/",LEFT(A1501,FIND("-",A1501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2" spans="1:4" x14ac:dyDescent="0.25">
      <c r="A1502" s="3" t="s">
        <v>1504</v>
      </c>
      <c r="B1502" s="4">
        <v>69</v>
      </c>
      <c r="C1502" s="3" t="str">
        <f ca="1">IFERROR(ROWSDUMMYFUNCTION(IF(A1502="","",IFERROR(IMAGE(CONCATENATE("https://us.pandora.net/on/demandware.static/-/Sites-pandora-master-catalog/default/dwbb259ca6/productimages/singlepackshot/",LEFT(A1502,FIND("-",A1502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2" s="5" t="str">
        <f ca="1">IFERROR(ROWSDUMMYFUNCTION(IF(A1502="","",CONCATENATE("https://us.pandora.net/on/demandware.static/-/Sites-pandora-master-catalog/default/dwbb259ca6/productimages/singlepackshot/",LEFT(A1502,FIND("-",A1502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3" spans="1:4" x14ac:dyDescent="0.25">
      <c r="A1503" s="3" t="s">
        <v>1505</v>
      </c>
      <c r="B1503" s="4">
        <v>69</v>
      </c>
      <c r="C1503" s="3" t="str">
        <f ca="1">IFERROR(ROWSDUMMYFUNCTION(IF(A1503="","",IFERROR(IMAGE(CONCATENATE("https://us.pandora.net/on/demandware.static/-/Sites-pandora-master-catalog/default/dwbb259ca6/productimages/singlepackshot/",LEFT(A1503,FIND("-",A1503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3" s="5" t="str">
        <f ca="1">IFERROR(ROWSDUMMYFUNCTION(IF(A1503="","",CONCATENATE("https://us.pandora.net/on/demandware.static/-/Sites-pandora-master-catalog/default/dwbb259ca6/productimages/singlepackshot/",LEFT(A1503,FIND("-",A1503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4" spans="1:4" x14ac:dyDescent="0.25">
      <c r="A1504" s="3" t="s">
        <v>1506</v>
      </c>
      <c r="B1504" s="4">
        <v>69</v>
      </c>
      <c r="C1504" s="3" t="str">
        <f ca="1">IFERROR(ROWSDUMMYFUNCTION(IF(A1504="","",IFERROR(IMAGE(CONCATENATE("https://us.pandora.net/on/demandware.static/-/Sites-pandora-master-catalog/default/dwbb259ca6/productimages/singlepackshot/",LEFT(A1504,FIND("-",A1504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4" s="5" t="str">
        <f ca="1">IFERROR(ROWSDUMMYFUNCTION(IF(A1504="","",CONCATENATE("https://us.pandora.net/on/demandware.static/-/Sites-pandora-master-catalog/default/dwbb259ca6/productimages/singlepackshot/",LEFT(A1504,FIND("-",A1504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5" spans="1:4" x14ac:dyDescent="0.25">
      <c r="A1505" s="3" t="s">
        <v>1507</v>
      </c>
      <c r="B1505" s="4">
        <v>69</v>
      </c>
      <c r="C1505" s="3" t="str">
        <f ca="1">IFERROR(ROWSDUMMYFUNCTION(IF(A1505="","",IFERROR(IMAGE(CONCATENATE("https://us.pandora.net/on/demandware.static/-/Sites-pandora-master-catalog/default/dwbb259ca6/productimages/singlepackshot/",LEFT(A1505,FIND("-",A1505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5" s="5" t="str">
        <f ca="1">IFERROR(ROWSDUMMYFUNCTION(IF(A1505="","",CONCATENATE("https://us.pandora.net/on/demandware.static/-/Sites-pandora-master-catalog/default/dwbb259ca6/productimages/singlepackshot/",LEFT(A1505,FIND("-",A1505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6" spans="1:4" x14ac:dyDescent="0.25">
      <c r="A1506" s="3" t="s">
        <v>1508</v>
      </c>
      <c r="B1506" s="4">
        <v>69</v>
      </c>
      <c r="C1506" s="3" t="str">
        <f ca="1">IFERROR(ROWSDUMMYFUNCTION(IF(A1506="","",IFERROR(IMAGE(CONCATENATE("https://us.pandora.net/on/demandware.static/-/Sites-pandora-master-catalog/default/dwbb259ca6/productimages/singlepackshot/",LEFT(A1506,FIND("-",A1506&amp;"-")-1),"_RGB.png")),""))),"{""url"":""https://us.pandora.net/on/demandware.static/-/Sites-pandora-master-catalog/default/dwbb259ca6/productimages/singlepackshot/193740C01_RGB.png"",""mode"":1}")</f>
        <v>{"url":"https://us.pandora.net/on/demandware.static/-/Sites-pandora-master-catalog/default/dwbb259ca6/productimages/singlepackshot/193740C01_RGB.png","mode":1}</v>
      </c>
      <c r="D1506" s="5" t="str">
        <f ca="1">IFERROR(ROWSDUMMYFUNCTION(IF(A1506="","",CONCATENATE("https://us.pandora.net/on/demandware.static/-/Sites-pandora-master-catalog/default/dwbb259ca6/productimages/singlepackshot/",LEFT(A1506,FIND("-",A1506&amp;"-")-1),"_RGB.png"))),"https://us.pandora.net/on/demandware.static/-/Sites-pandora-master-catalog/default/dwbb259ca6/productimages/singlepackshot/193740C01_RGB.png")</f>
        <v>https://us.pandora.net/on/demandware.static/-/Sites-pandora-master-catalog/default/dwbb259ca6/productimages/singlepackshot/193740C01_RGB.png</v>
      </c>
    </row>
    <row r="1507" spans="1:4" x14ac:dyDescent="0.25">
      <c r="A1507" s="3" t="s">
        <v>1509</v>
      </c>
      <c r="B1507" s="4">
        <v>39</v>
      </c>
      <c r="C1507" s="3" t="str">
        <f ca="1">IFERROR(ROWSDUMMYFUNCTION(IF(A1507="","",IFERROR(IMAGE(CONCATENATE("https://us.pandora.net/on/demandware.static/-/Sites-pandora-master-catalog/default/dwbb259ca6/productimages/singlepackshot/",LEFT(A1507,FIND("-",A1507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07" s="5" t="str">
        <f ca="1">IFERROR(ROWSDUMMYFUNCTION(IF(A1507="","",CONCATENATE("https://us.pandora.net/on/demandware.static/-/Sites-pandora-master-catalog/default/dwbb259ca6/productimages/singlepackshot/",LEFT(A1507,FIND("-",A1507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08" spans="1:4" x14ac:dyDescent="0.25">
      <c r="A1508" s="3" t="s">
        <v>1510</v>
      </c>
      <c r="B1508" s="4">
        <v>39</v>
      </c>
      <c r="C1508" s="3" t="str">
        <f ca="1">IFERROR(ROWSDUMMYFUNCTION(IF(A1508="","",IFERROR(IMAGE(CONCATENATE("https://us.pandora.net/on/demandware.static/-/Sites-pandora-master-catalog/default/dwbb259ca6/productimages/singlepackshot/",LEFT(A1508,FIND("-",A1508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08" s="5" t="str">
        <f ca="1">IFERROR(ROWSDUMMYFUNCTION(IF(A1508="","",CONCATENATE("https://us.pandora.net/on/demandware.static/-/Sites-pandora-master-catalog/default/dwbb259ca6/productimages/singlepackshot/",LEFT(A1508,FIND("-",A1508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09" spans="1:4" x14ac:dyDescent="0.25">
      <c r="A1509" s="3" t="s">
        <v>1511</v>
      </c>
      <c r="B1509" s="4">
        <v>39</v>
      </c>
      <c r="C1509" s="3" t="str">
        <f ca="1">IFERROR(ROWSDUMMYFUNCTION(IF(A1509="","",IFERROR(IMAGE(CONCATENATE("https://us.pandora.net/on/demandware.static/-/Sites-pandora-master-catalog/default/dwbb259ca6/productimages/singlepackshot/",LEFT(A1509,FIND("-",A1509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09" s="5" t="str">
        <f ca="1">IFERROR(ROWSDUMMYFUNCTION(IF(A1509="","",CONCATENATE("https://us.pandora.net/on/demandware.static/-/Sites-pandora-master-catalog/default/dwbb259ca6/productimages/singlepackshot/",LEFT(A1509,FIND("-",A1509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10" spans="1:4" x14ac:dyDescent="0.25">
      <c r="A1510" s="3" t="s">
        <v>1512</v>
      </c>
      <c r="B1510" s="4">
        <v>39</v>
      </c>
      <c r="C1510" s="3" t="str">
        <f ca="1">IFERROR(ROWSDUMMYFUNCTION(IF(A1510="","",IFERROR(IMAGE(CONCATENATE("https://us.pandora.net/on/demandware.static/-/Sites-pandora-master-catalog/default/dwbb259ca6/productimages/singlepackshot/",LEFT(A1510,FIND("-",A1510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10" s="5" t="str">
        <f ca="1">IFERROR(ROWSDUMMYFUNCTION(IF(A1510="","",CONCATENATE("https://us.pandora.net/on/demandware.static/-/Sites-pandora-master-catalog/default/dwbb259ca6/productimages/singlepackshot/",LEFT(A1510,FIND("-",A1510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11" spans="1:4" x14ac:dyDescent="0.25">
      <c r="A1511" s="3" t="s">
        <v>1513</v>
      </c>
      <c r="B1511" s="4">
        <v>39</v>
      </c>
      <c r="C1511" s="3" t="str">
        <f ca="1">IFERROR(ROWSDUMMYFUNCTION(IF(A1511="","",IFERROR(IMAGE(CONCATENATE("https://us.pandora.net/on/demandware.static/-/Sites-pandora-master-catalog/default/dwbb259ca6/productimages/singlepackshot/",LEFT(A1511,FIND("-",A1511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11" s="5" t="str">
        <f ca="1">IFERROR(ROWSDUMMYFUNCTION(IF(A1511="","",CONCATENATE("https://us.pandora.net/on/demandware.static/-/Sites-pandora-master-catalog/default/dwbb259ca6/productimages/singlepackshot/",LEFT(A1511,FIND("-",A1511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12" spans="1:4" x14ac:dyDescent="0.25">
      <c r="A1512" s="3" t="s">
        <v>1514</v>
      </c>
      <c r="B1512" s="4">
        <v>39</v>
      </c>
      <c r="C1512" s="3" t="str">
        <f ca="1">IFERROR(ROWSDUMMYFUNCTION(IF(A1512="","",IFERROR(IMAGE(CONCATENATE("https://us.pandora.net/on/demandware.static/-/Sites-pandora-master-catalog/default/dwbb259ca6/productimages/singlepackshot/",LEFT(A1512,FIND("-",A1512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12" s="5" t="str">
        <f ca="1">IFERROR(ROWSDUMMYFUNCTION(IF(A1512="","",CONCATENATE("https://us.pandora.net/on/demandware.static/-/Sites-pandora-master-catalog/default/dwbb259ca6/productimages/singlepackshot/",LEFT(A1512,FIND("-",A1512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13" spans="1:4" x14ac:dyDescent="0.25">
      <c r="A1513" s="3" t="s">
        <v>1515</v>
      </c>
      <c r="B1513" s="4">
        <v>39</v>
      </c>
      <c r="C1513" s="3" t="str">
        <f ca="1">IFERROR(ROWSDUMMYFUNCTION(IF(A1513="","",IFERROR(IMAGE(CONCATENATE("https://us.pandora.net/on/demandware.static/-/Sites-pandora-master-catalog/default/dwbb259ca6/productimages/singlepackshot/",LEFT(A1513,FIND("-",A1513&amp;"-")-1),"_RGB.png")),""))),"{""url"":""https://us.pandora.net/on/demandware.static/-/Sites-pandora-master-catalog/default/dwbb259ca6/productimages/singlepackshot/193759C01_RGB.png"",""mode"":1}")</f>
        <v>{"url":"https://us.pandora.net/on/demandware.static/-/Sites-pandora-master-catalog/default/dwbb259ca6/productimages/singlepackshot/193759C01_RGB.png","mode":1}</v>
      </c>
      <c r="D1513" s="5" t="str">
        <f ca="1">IFERROR(ROWSDUMMYFUNCTION(IF(A1513="","",CONCATENATE("https://us.pandora.net/on/demandware.static/-/Sites-pandora-master-catalog/default/dwbb259ca6/productimages/singlepackshot/",LEFT(A1513,FIND("-",A1513&amp;"-")-1),"_RGB.png"))),"https://us.pandora.net/on/demandware.static/-/Sites-pandora-master-catalog/default/dwbb259ca6/productimages/singlepackshot/193759C01_RGB.png")</f>
        <v>https://us.pandora.net/on/demandware.static/-/Sites-pandora-master-catalog/default/dwbb259ca6/productimages/singlepackshot/193759C01_RGB.png</v>
      </c>
    </row>
    <row r="1514" spans="1:4" x14ac:dyDescent="0.25">
      <c r="A1514" s="3" t="s">
        <v>1516</v>
      </c>
      <c r="B1514" s="4">
        <v>89</v>
      </c>
      <c r="C1514" s="3" t="str">
        <f ca="1">IFERROR(ROWSDUMMYFUNCTION(IF(A1514="","",IFERROR(IMAGE(CONCATENATE("https://us.pandora.net/on/demandware.static/-/Sites-pandora-master-catalog/default/dwbb259ca6/productimages/singlepackshot/",LEFT(A1514,FIND("-",A1514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14" s="5" t="str">
        <f ca="1">IFERROR(ROWSDUMMYFUNCTION(IF(A1514="","",CONCATENATE("https://us.pandora.net/on/demandware.static/-/Sites-pandora-master-catalog/default/dwbb259ca6/productimages/singlepackshot/",LEFT(A1514,FIND("-",A1514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15" spans="1:4" x14ac:dyDescent="0.25">
      <c r="A1515" s="3" t="s">
        <v>1517</v>
      </c>
      <c r="B1515" s="4">
        <v>89</v>
      </c>
      <c r="C1515" s="3" t="str">
        <f ca="1">IFERROR(ROWSDUMMYFUNCTION(IF(A1515="","",IFERROR(IMAGE(CONCATENATE("https://us.pandora.net/on/demandware.static/-/Sites-pandora-master-catalog/default/dwbb259ca6/productimages/singlepackshot/",LEFT(A1515,FIND("-",A1515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15" s="5" t="str">
        <f ca="1">IFERROR(ROWSDUMMYFUNCTION(IF(A1515="","",CONCATENATE("https://us.pandora.net/on/demandware.static/-/Sites-pandora-master-catalog/default/dwbb259ca6/productimages/singlepackshot/",LEFT(A1515,FIND("-",A1515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16" spans="1:4" x14ac:dyDescent="0.25">
      <c r="A1516" s="3" t="s">
        <v>1518</v>
      </c>
      <c r="B1516" s="4">
        <v>89</v>
      </c>
      <c r="C1516" s="3" t="str">
        <f ca="1">IFERROR(ROWSDUMMYFUNCTION(IF(A1516="","",IFERROR(IMAGE(CONCATENATE("https://us.pandora.net/on/demandware.static/-/Sites-pandora-master-catalog/default/dwbb259ca6/productimages/singlepackshot/",LEFT(A1516,FIND("-",A1516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16" s="5" t="str">
        <f ca="1">IFERROR(ROWSDUMMYFUNCTION(IF(A1516="","",CONCATENATE("https://us.pandora.net/on/demandware.static/-/Sites-pandora-master-catalog/default/dwbb259ca6/productimages/singlepackshot/",LEFT(A1516,FIND("-",A1516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17" spans="1:4" x14ac:dyDescent="0.25">
      <c r="A1517" s="3" t="s">
        <v>1519</v>
      </c>
      <c r="B1517" s="4">
        <v>89</v>
      </c>
      <c r="C1517" s="3" t="str">
        <f ca="1">IFERROR(ROWSDUMMYFUNCTION(IF(A1517="","",IFERROR(IMAGE(CONCATENATE("https://us.pandora.net/on/demandware.static/-/Sites-pandora-master-catalog/default/dwbb259ca6/productimages/singlepackshot/",LEFT(A1517,FIND("-",A1517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17" s="5" t="str">
        <f ca="1">IFERROR(ROWSDUMMYFUNCTION(IF(A1517="","",CONCATENATE("https://us.pandora.net/on/demandware.static/-/Sites-pandora-master-catalog/default/dwbb259ca6/productimages/singlepackshot/",LEFT(A1517,FIND("-",A1517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18" spans="1:4" x14ac:dyDescent="0.25">
      <c r="A1518" s="3" t="s">
        <v>1520</v>
      </c>
      <c r="B1518" s="4">
        <v>89</v>
      </c>
      <c r="C1518" s="3" t="str">
        <f ca="1">IFERROR(ROWSDUMMYFUNCTION(IF(A1518="","",IFERROR(IMAGE(CONCATENATE("https://us.pandora.net/on/demandware.static/-/Sites-pandora-master-catalog/default/dwbb259ca6/productimages/singlepackshot/",LEFT(A1518,FIND("-",A1518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18" s="5" t="str">
        <f ca="1">IFERROR(ROWSDUMMYFUNCTION(IF(A1518="","",CONCATENATE("https://us.pandora.net/on/demandware.static/-/Sites-pandora-master-catalog/default/dwbb259ca6/productimages/singlepackshot/",LEFT(A1518,FIND("-",A1518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19" spans="1:4" x14ac:dyDescent="0.25">
      <c r="A1519" s="3" t="s">
        <v>1521</v>
      </c>
      <c r="B1519" s="4">
        <v>89</v>
      </c>
      <c r="C1519" s="3" t="str">
        <f ca="1">IFERROR(ROWSDUMMYFUNCTION(IF(A1519="","",IFERROR(IMAGE(CONCATENATE("https://us.pandora.net/on/demandware.static/-/Sites-pandora-master-catalog/default/dwbb259ca6/productimages/singlepackshot/",LEFT(A1519,FIND("-",A1519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19" s="5" t="str">
        <f ca="1">IFERROR(ROWSDUMMYFUNCTION(IF(A1519="","",CONCATENATE("https://us.pandora.net/on/demandware.static/-/Sites-pandora-master-catalog/default/dwbb259ca6/productimages/singlepackshot/",LEFT(A1519,FIND("-",A1519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20" spans="1:4" x14ac:dyDescent="0.25">
      <c r="A1520" s="3" t="s">
        <v>1522</v>
      </c>
      <c r="B1520" s="4">
        <v>89</v>
      </c>
      <c r="C1520" s="3" t="str">
        <f ca="1">IFERROR(ROWSDUMMYFUNCTION(IF(A1520="","",IFERROR(IMAGE(CONCATENATE("https://us.pandora.net/on/demandware.static/-/Sites-pandora-master-catalog/default/dwbb259ca6/productimages/singlepackshot/",LEFT(A1520,FIND("-",A1520&amp;"-")-1),"_RGB.png")),""))),"{""url"":""https://us.pandora.net/on/demandware.static/-/Sites-pandora-master-catalog/default/dwbb259ca6/productimages/singlepackshot/193777C01_RGB.png"",""mode"":1}")</f>
        <v>{"url":"https://us.pandora.net/on/demandware.static/-/Sites-pandora-master-catalog/default/dwbb259ca6/productimages/singlepackshot/193777C01_RGB.png","mode":1}</v>
      </c>
      <c r="D1520" s="5" t="str">
        <f ca="1">IFERROR(ROWSDUMMYFUNCTION(IF(A1520="","",CONCATENATE("https://us.pandora.net/on/demandware.static/-/Sites-pandora-master-catalog/default/dwbb259ca6/productimages/singlepackshot/",LEFT(A1520,FIND("-",A1520&amp;"-")-1),"_RGB.png"))),"https://us.pandora.net/on/demandware.static/-/Sites-pandora-master-catalog/default/dwbb259ca6/productimages/singlepackshot/193777C01_RGB.png")</f>
        <v>https://us.pandora.net/on/demandware.static/-/Sites-pandora-master-catalog/default/dwbb259ca6/productimages/singlepackshot/193777C01_RGB.png</v>
      </c>
    </row>
    <row r="1521" spans="1:4" x14ac:dyDescent="0.25">
      <c r="A1521" s="3" t="s">
        <v>1523</v>
      </c>
      <c r="B1521" s="4">
        <v>49</v>
      </c>
      <c r="C1521" s="3" t="str">
        <f ca="1">IFERROR(ROWSDUMMYFUNCTION(IF(A1521="","",IFERROR(IMAGE(CONCATENATE("https://us.pandora.net/on/demandware.static/-/Sites-pandora-master-catalog/default/dwbb259ca6/productimages/singlepackshot/",LEFT(A1521,FIND("-",A1521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1" s="5" t="str">
        <f ca="1">IFERROR(ROWSDUMMYFUNCTION(IF(A1521="","",CONCATENATE("https://us.pandora.net/on/demandware.static/-/Sites-pandora-master-catalog/default/dwbb259ca6/productimages/singlepackshot/",LEFT(A1521,FIND("-",A1521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2" spans="1:4" x14ac:dyDescent="0.25">
      <c r="A1522" s="3" t="s">
        <v>1524</v>
      </c>
      <c r="B1522" s="4">
        <v>49</v>
      </c>
      <c r="C1522" s="3" t="str">
        <f ca="1">IFERROR(ROWSDUMMYFUNCTION(IF(A1522="","",IFERROR(IMAGE(CONCATENATE("https://us.pandora.net/on/demandware.static/-/Sites-pandora-master-catalog/default/dwbb259ca6/productimages/singlepackshot/",LEFT(A1522,FIND("-",A1522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2" s="5" t="str">
        <f ca="1">IFERROR(ROWSDUMMYFUNCTION(IF(A1522="","",CONCATENATE("https://us.pandora.net/on/demandware.static/-/Sites-pandora-master-catalog/default/dwbb259ca6/productimages/singlepackshot/",LEFT(A1522,FIND("-",A1522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3" spans="1:4" x14ac:dyDescent="0.25">
      <c r="A1523" s="3" t="s">
        <v>1525</v>
      </c>
      <c r="B1523" s="4">
        <v>49</v>
      </c>
      <c r="C1523" s="3" t="str">
        <f ca="1">IFERROR(ROWSDUMMYFUNCTION(IF(A1523="","",IFERROR(IMAGE(CONCATENATE("https://us.pandora.net/on/demandware.static/-/Sites-pandora-master-catalog/default/dwbb259ca6/productimages/singlepackshot/",LEFT(A1523,FIND("-",A1523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3" s="5" t="str">
        <f ca="1">IFERROR(ROWSDUMMYFUNCTION(IF(A1523="","",CONCATENATE("https://us.pandora.net/on/demandware.static/-/Sites-pandora-master-catalog/default/dwbb259ca6/productimages/singlepackshot/",LEFT(A1523,FIND("-",A1523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4" spans="1:4" x14ac:dyDescent="0.25">
      <c r="A1524" s="3" t="s">
        <v>1526</v>
      </c>
      <c r="B1524" s="4">
        <v>49</v>
      </c>
      <c r="C1524" s="3" t="str">
        <f ca="1">IFERROR(ROWSDUMMYFUNCTION(IF(A1524="","",IFERROR(IMAGE(CONCATENATE("https://us.pandora.net/on/demandware.static/-/Sites-pandora-master-catalog/default/dwbb259ca6/productimages/singlepackshot/",LEFT(A1524,FIND("-",A1524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4" s="5" t="str">
        <f ca="1">IFERROR(ROWSDUMMYFUNCTION(IF(A1524="","",CONCATENATE("https://us.pandora.net/on/demandware.static/-/Sites-pandora-master-catalog/default/dwbb259ca6/productimages/singlepackshot/",LEFT(A1524,FIND("-",A1524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5" spans="1:4" x14ac:dyDescent="0.25">
      <c r="A1525" s="3" t="s">
        <v>1527</v>
      </c>
      <c r="B1525" s="4">
        <v>49</v>
      </c>
      <c r="C1525" s="3" t="str">
        <f ca="1">IFERROR(ROWSDUMMYFUNCTION(IF(A1525="","",IFERROR(IMAGE(CONCATENATE("https://us.pandora.net/on/demandware.static/-/Sites-pandora-master-catalog/default/dwbb259ca6/productimages/singlepackshot/",LEFT(A1525,FIND("-",A1525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5" s="5" t="str">
        <f ca="1">IFERROR(ROWSDUMMYFUNCTION(IF(A1525="","",CONCATENATE("https://us.pandora.net/on/demandware.static/-/Sites-pandora-master-catalog/default/dwbb259ca6/productimages/singlepackshot/",LEFT(A1525,FIND("-",A1525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6" spans="1:4" x14ac:dyDescent="0.25">
      <c r="A1526" s="3" t="s">
        <v>1528</v>
      </c>
      <c r="B1526" s="4">
        <v>49</v>
      </c>
      <c r="C1526" s="3" t="str">
        <f ca="1">IFERROR(ROWSDUMMYFUNCTION(IF(A1526="","",IFERROR(IMAGE(CONCATENATE("https://us.pandora.net/on/demandware.static/-/Sites-pandora-master-catalog/default/dwbb259ca6/productimages/singlepackshot/",LEFT(A1526,FIND("-",A1526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6" s="5" t="str">
        <f ca="1">IFERROR(ROWSDUMMYFUNCTION(IF(A1526="","",CONCATENATE("https://us.pandora.net/on/demandware.static/-/Sites-pandora-master-catalog/default/dwbb259ca6/productimages/singlepackshot/",LEFT(A1526,FIND("-",A1526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7" spans="1:4" x14ac:dyDescent="0.25">
      <c r="A1527" s="3" t="s">
        <v>1529</v>
      </c>
      <c r="B1527" s="4">
        <v>49</v>
      </c>
      <c r="C1527" s="3" t="str">
        <f ca="1">IFERROR(ROWSDUMMYFUNCTION(IF(A1527="","",IFERROR(IMAGE(CONCATENATE("https://us.pandora.net/on/demandware.static/-/Sites-pandora-master-catalog/default/dwbb259ca6/productimages/singlepackshot/",LEFT(A1527,FIND("-",A1527&amp;"-")-1),"_RGB.png")),""))),"{""url"":""https://us.pandora.net/on/demandware.static/-/Sites-pandora-master-catalog/default/dwbb259ca6/productimages/singlepackshot/193801C01_RGB.png"",""mode"":1}")</f>
        <v>{"url":"https://us.pandora.net/on/demandware.static/-/Sites-pandora-master-catalog/default/dwbb259ca6/productimages/singlepackshot/193801C01_RGB.png","mode":1}</v>
      </c>
      <c r="D1527" s="5" t="str">
        <f ca="1">IFERROR(ROWSDUMMYFUNCTION(IF(A1527="","",CONCATENATE("https://us.pandora.net/on/demandware.static/-/Sites-pandora-master-catalog/default/dwbb259ca6/productimages/singlepackshot/",LEFT(A1527,FIND("-",A1527&amp;"-")-1),"_RGB.png"))),"https://us.pandora.net/on/demandware.static/-/Sites-pandora-master-catalog/default/dwbb259ca6/productimages/singlepackshot/193801C01_RGB.png")</f>
        <v>https://us.pandora.net/on/demandware.static/-/Sites-pandora-master-catalog/default/dwbb259ca6/productimages/singlepackshot/193801C01_RGB.png</v>
      </c>
    </row>
    <row r="1528" spans="1:4" x14ac:dyDescent="0.25">
      <c r="A1528" s="3" t="s">
        <v>1530</v>
      </c>
      <c r="B1528" s="4">
        <v>39</v>
      </c>
      <c r="C1528" s="3" t="str">
        <f ca="1">IFERROR(ROWSDUMMYFUNCTION(IF(A1528="","",IFERROR(IMAGE(CONCATENATE("https://us.pandora.net/on/demandware.static/-/Sites-pandora-master-catalog/default/dwbb259ca6/productimages/singlepackshot/",LEFT(A1528,FIND("-",A1528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28" s="5" t="str">
        <f ca="1">IFERROR(ROWSDUMMYFUNCTION(IF(A1528="","",CONCATENATE("https://us.pandora.net/on/demandware.static/-/Sites-pandora-master-catalog/default/dwbb259ca6/productimages/singlepackshot/",LEFT(A1528,FIND("-",A1528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29" spans="1:4" x14ac:dyDescent="0.25">
      <c r="A1529" s="3" t="s">
        <v>1531</v>
      </c>
      <c r="B1529" s="4">
        <v>39</v>
      </c>
      <c r="C1529" s="3" t="str">
        <f ca="1">IFERROR(ROWSDUMMYFUNCTION(IF(A1529="","",IFERROR(IMAGE(CONCATENATE("https://us.pandora.net/on/demandware.static/-/Sites-pandora-master-catalog/default/dwbb259ca6/productimages/singlepackshot/",LEFT(A1529,FIND("-",A1529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29" s="5" t="str">
        <f ca="1">IFERROR(ROWSDUMMYFUNCTION(IF(A1529="","",CONCATENATE("https://us.pandora.net/on/demandware.static/-/Sites-pandora-master-catalog/default/dwbb259ca6/productimages/singlepackshot/",LEFT(A1529,FIND("-",A1529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30" spans="1:4" x14ac:dyDescent="0.25">
      <c r="A1530" s="3" t="s">
        <v>1532</v>
      </c>
      <c r="B1530" s="4">
        <v>39</v>
      </c>
      <c r="C1530" s="3" t="str">
        <f ca="1">IFERROR(ROWSDUMMYFUNCTION(IF(A1530="","",IFERROR(IMAGE(CONCATENATE("https://us.pandora.net/on/demandware.static/-/Sites-pandora-master-catalog/default/dwbb259ca6/productimages/singlepackshot/",LEFT(A1530,FIND("-",A1530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30" s="5" t="str">
        <f ca="1">IFERROR(ROWSDUMMYFUNCTION(IF(A1530="","",CONCATENATE("https://us.pandora.net/on/demandware.static/-/Sites-pandora-master-catalog/default/dwbb259ca6/productimages/singlepackshot/",LEFT(A1530,FIND("-",A1530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31" spans="1:4" x14ac:dyDescent="0.25">
      <c r="A1531" s="3" t="s">
        <v>1533</v>
      </c>
      <c r="B1531" s="4">
        <v>39</v>
      </c>
      <c r="C1531" s="3" t="str">
        <f ca="1">IFERROR(ROWSDUMMYFUNCTION(IF(A1531="","",IFERROR(IMAGE(CONCATENATE("https://us.pandora.net/on/demandware.static/-/Sites-pandora-master-catalog/default/dwbb259ca6/productimages/singlepackshot/",LEFT(A1531,FIND("-",A1531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31" s="5" t="str">
        <f ca="1">IFERROR(ROWSDUMMYFUNCTION(IF(A1531="","",CONCATENATE("https://us.pandora.net/on/demandware.static/-/Sites-pandora-master-catalog/default/dwbb259ca6/productimages/singlepackshot/",LEFT(A1531,FIND("-",A1531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32" spans="1:4" x14ac:dyDescent="0.25">
      <c r="A1532" s="3" t="s">
        <v>1534</v>
      </c>
      <c r="B1532" s="4">
        <v>39</v>
      </c>
      <c r="C1532" s="3" t="str">
        <f ca="1">IFERROR(ROWSDUMMYFUNCTION(IF(A1532="","",IFERROR(IMAGE(CONCATENATE("https://us.pandora.net/on/demandware.static/-/Sites-pandora-master-catalog/default/dwbb259ca6/productimages/singlepackshot/",LEFT(A1532,FIND("-",A1532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32" s="5" t="str">
        <f ca="1">IFERROR(ROWSDUMMYFUNCTION(IF(A1532="","",CONCATENATE("https://us.pandora.net/on/demandware.static/-/Sites-pandora-master-catalog/default/dwbb259ca6/productimages/singlepackshot/",LEFT(A1532,FIND("-",A1532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33" spans="1:4" x14ac:dyDescent="0.25">
      <c r="A1533" s="3" t="s">
        <v>1535</v>
      </c>
      <c r="B1533" s="4">
        <v>39</v>
      </c>
      <c r="C1533" s="3" t="str">
        <f ca="1">IFERROR(ROWSDUMMYFUNCTION(IF(A1533="","",IFERROR(IMAGE(CONCATENATE("https://us.pandora.net/on/demandware.static/-/Sites-pandora-master-catalog/default/dwbb259ca6/productimages/singlepackshot/",LEFT(A1533,FIND("-",A1533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33" s="5" t="str">
        <f ca="1">IFERROR(ROWSDUMMYFUNCTION(IF(A1533="","",CONCATENATE("https://us.pandora.net/on/demandware.static/-/Sites-pandora-master-catalog/default/dwbb259ca6/productimages/singlepackshot/",LEFT(A1533,FIND("-",A1533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34" spans="1:4" x14ac:dyDescent="0.25">
      <c r="A1534" s="3" t="s">
        <v>1536</v>
      </c>
      <c r="B1534" s="4">
        <v>39</v>
      </c>
      <c r="C1534" s="3" t="str">
        <f ca="1">IFERROR(ROWSDUMMYFUNCTION(IF(A1534="","",IFERROR(IMAGE(CONCATENATE("https://us.pandora.net/on/demandware.static/-/Sites-pandora-master-catalog/default/dwbb259ca6/productimages/singlepackshot/",LEFT(A1534,FIND("-",A1534&amp;"-")-1),"_RGB.png")),""))),"{""url"":""https://us.pandora.net/on/demandware.static/-/Sites-pandora-master-catalog/default/dwbb259ca6/productimages/singlepackshot/193828C01_RGB.png"",""mode"":1}")</f>
        <v>{"url":"https://us.pandora.net/on/demandware.static/-/Sites-pandora-master-catalog/default/dwbb259ca6/productimages/singlepackshot/193828C01_RGB.png","mode":1}</v>
      </c>
      <c r="D1534" s="5" t="str">
        <f ca="1">IFERROR(ROWSDUMMYFUNCTION(IF(A1534="","",CONCATENATE("https://us.pandora.net/on/demandware.static/-/Sites-pandora-master-catalog/default/dwbb259ca6/productimages/singlepackshot/",LEFT(A1534,FIND("-",A1534&amp;"-")-1),"_RGB.png"))),"https://us.pandora.net/on/demandware.static/-/Sites-pandora-master-catalog/default/dwbb259ca6/productimages/singlepackshot/193828C01_RGB.png")</f>
        <v>https://us.pandora.net/on/demandware.static/-/Sites-pandora-master-catalog/default/dwbb259ca6/productimages/singlepackshot/193828C01_RGB.png</v>
      </c>
    </row>
    <row r="1535" spans="1:4" x14ac:dyDescent="0.25">
      <c r="A1535" s="3" t="s">
        <v>1537</v>
      </c>
      <c r="B1535" s="4">
        <v>79</v>
      </c>
      <c r="C1535" s="3" t="str">
        <f ca="1">IFERROR(ROWSDUMMYFUNCTION(IF(A1535="","",IFERROR(IMAGE(CONCATENATE("https://us.pandora.net/on/demandware.static/-/Sites-pandora-master-catalog/default/dwbb259ca6/productimages/singlepackshot/",LEFT(A1535,FIND("-",A1535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35" s="5" t="str">
        <f ca="1">IFERROR(ROWSDUMMYFUNCTION(IF(A1535="","",CONCATENATE("https://us.pandora.net/on/demandware.static/-/Sites-pandora-master-catalog/default/dwbb259ca6/productimages/singlepackshot/",LEFT(A1535,FIND("-",A1535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36" spans="1:4" x14ac:dyDescent="0.25">
      <c r="A1536" s="3" t="s">
        <v>1538</v>
      </c>
      <c r="B1536" s="4">
        <v>79</v>
      </c>
      <c r="C1536" s="3" t="str">
        <f ca="1">IFERROR(ROWSDUMMYFUNCTION(IF(A1536="","",IFERROR(IMAGE(CONCATENATE("https://us.pandora.net/on/demandware.static/-/Sites-pandora-master-catalog/default/dwbb259ca6/productimages/singlepackshot/",LEFT(A1536,FIND("-",A1536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36" s="5" t="str">
        <f ca="1">IFERROR(ROWSDUMMYFUNCTION(IF(A1536="","",CONCATENATE("https://us.pandora.net/on/demandware.static/-/Sites-pandora-master-catalog/default/dwbb259ca6/productimages/singlepackshot/",LEFT(A1536,FIND("-",A1536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37" spans="1:4" x14ac:dyDescent="0.25">
      <c r="A1537" s="3" t="s">
        <v>1539</v>
      </c>
      <c r="B1537" s="4">
        <v>79</v>
      </c>
      <c r="C1537" s="3" t="str">
        <f ca="1">IFERROR(ROWSDUMMYFUNCTION(IF(A1537="","",IFERROR(IMAGE(CONCATENATE("https://us.pandora.net/on/demandware.static/-/Sites-pandora-master-catalog/default/dwbb259ca6/productimages/singlepackshot/",LEFT(A1537,FIND("-",A1537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37" s="5" t="str">
        <f ca="1">IFERROR(ROWSDUMMYFUNCTION(IF(A1537="","",CONCATENATE("https://us.pandora.net/on/demandware.static/-/Sites-pandora-master-catalog/default/dwbb259ca6/productimages/singlepackshot/",LEFT(A1537,FIND("-",A1537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38" spans="1:4" x14ac:dyDescent="0.25">
      <c r="A1538" s="3" t="s">
        <v>1540</v>
      </c>
      <c r="B1538" s="4">
        <v>79</v>
      </c>
      <c r="C1538" s="3" t="str">
        <f ca="1">IFERROR(ROWSDUMMYFUNCTION(IF(A1538="","",IFERROR(IMAGE(CONCATENATE("https://us.pandora.net/on/demandware.static/-/Sites-pandora-master-catalog/default/dwbb259ca6/productimages/singlepackshot/",LEFT(A1538,FIND("-",A1538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38" s="5" t="str">
        <f ca="1">IFERROR(ROWSDUMMYFUNCTION(IF(A1538="","",CONCATENATE("https://us.pandora.net/on/demandware.static/-/Sites-pandora-master-catalog/default/dwbb259ca6/productimages/singlepackshot/",LEFT(A1538,FIND("-",A1538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39" spans="1:4" x14ac:dyDescent="0.25">
      <c r="A1539" s="3" t="s">
        <v>1541</v>
      </c>
      <c r="B1539" s="4">
        <v>79</v>
      </c>
      <c r="C1539" s="3" t="str">
        <f ca="1">IFERROR(ROWSDUMMYFUNCTION(IF(A1539="","",IFERROR(IMAGE(CONCATENATE("https://us.pandora.net/on/demandware.static/-/Sites-pandora-master-catalog/default/dwbb259ca6/productimages/singlepackshot/",LEFT(A1539,FIND("-",A1539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39" s="5" t="str">
        <f ca="1">IFERROR(ROWSDUMMYFUNCTION(IF(A1539="","",CONCATENATE("https://us.pandora.net/on/demandware.static/-/Sites-pandora-master-catalog/default/dwbb259ca6/productimages/singlepackshot/",LEFT(A1539,FIND("-",A1539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40" spans="1:4" x14ac:dyDescent="0.25">
      <c r="A1540" s="3" t="s">
        <v>1542</v>
      </c>
      <c r="B1540" s="4">
        <v>79</v>
      </c>
      <c r="C1540" s="3" t="str">
        <f ca="1">IFERROR(ROWSDUMMYFUNCTION(IF(A1540="","",IFERROR(IMAGE(CONCATENATE("https://us.pandora.net/on/demandware.static/-/Sites-pandora-master-catalog/default/dwbb259ca6/productimages/singlepackshot/",LEFT(A1540,FIND("-",A1540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40" s="5" t="str">
        <f ca="1">IFERROR(ROWSDUMMYFUNCTION(IF(A1540="","",CONCATENATE("https://us.pandora.net/on/demandware.static/-/Sites-pandora-master-catalog/default/dwbb259ca6/productimages/singlepackshot/",LEFT(A1540,FIND("-",A1540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41" spans="1:4" x14ac:dyDescent="0.25">
      <c r="A1541" s="3" t="s">
        <v>1543</v>
      </c>
      <c r="B1541" s="4">
        <v>79</v>
      </c>
      <c r="C1541" s="3" t="str">
        <f ca="1">IFERROR(ROWSDUMMYFUNCTION(IF(A1541="","",IFERROR(IMAGE(CONCATENATE("https://us.pandora.net/on/demandware.static/-/Sites-pandora-master-catalog/default/dwbb259ca6/productimages/singlepackshot/",LEFT(A1541,FIND("-",A1541&amp;"-")-1),"_RGB.png")),""))),"{""url"":""https://us.pandora.net/on/demandware.static/-/Sites-pandora-master-catalog/default/dwbb259ca6/productimages/singlepackshot/193886C00_RGB.png"",""mode"":1}")</f>
        <v>{"url":"https://us.pandora.net/on/demandware.static/-/Sites-pandora-master-catalog/default/dwbb259ca6/productimages/singlepackshot/193886C00_RGB.png","mode":1}</v>
      </c>
      <c r="D1541" s="5" t="str">
        <f ca="1">IFERROR(ROWSDUMMYFUNCTION(IF(A1541="","",CONCATENATE("https://us.pandora.net/on/demandware.static/-/Sites-pandora-master-catalog/default/dwbb259ca6/productimages/singlepackshot/",LEFT(A1541,FIND("-",A1541&amp;"-")-1),"_RGB.png"))),"https://us.pandora.net/on/demandware.static/-/Sites-pandora-master-catalog/default/dwbb259ca6/productimages/singlepackshot/193886C00_RGB.png")</f>
        <v>https://us.pandora.net/on/demandware.static/-/Sites-pandora-master-catalog/default/dwbb259ca6/productimages/singlepackshot/193886C00_RGB.png</v>
      </c>
    </row>
    <row r="1542" spans="1:4" x14ac:dyDescent="0.25">
      <c r="A1542" s="3" t="s">
        <v>1544</v>
      </c>
      <c r="B1542" s="4">
        <v>99</v>
      </c>
      <c r="C1542" s="3" t="str">
        <f ca="1">IFERROR(ROWSDUMMYFUNCTION(IF(A1542="","",IFERROR(IMAGE(CONCATENATE("https://us.pandora.net/on/demandware.static/-/Sites-pandora-master-catalog/default/dwbb259ca6/productimages/singlepackshot/",LEFT(A1542,FIND("-",A1542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2" s="5" t="str">
        <f ca="1">IFERROR(ROWSDUMMYFUNCTION(IF(A1542="","",CONCATENATE("https://us.pandora.net/on/demandware.static/-/Sites-pandora-master-catalog/default/dwbb259ca6/productimages/singlepackshot/",LEFT(A1542,FIND("-",A1542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3" spans="1:4" x14ac:dyDescent="0.25">
      <c r="A1543" s="3" t="s">
        <v>1545</v>
      </c>
      <c r="B1543" s="4">
        <v>99</v>
      </c>
      <c r="C1543" s="3" t="str">
        <f ca="1">IFERROR(ROWSDUMMYFUNCTION(IF(A1543="","",IFERROR(IMAGE(CONCATENATE("https://us.pandora.net/on/demandware.static/-/Sites-pandora-master-catalog/default/dwbb259ca6/productimages/singlepackshot/",LEFT(A1543,FIND("-",A1543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3" s="5" t="str">
        <f ca="1">IFERROR(ROWSDUMMYFUNCTION(IF(A1543="","",CONCATENATE("https://us.pandora.net/on/demandware.static/-/Sites-pandora-master-catalog/default/dwbb259ca6/productimages/singlepackshot/",LEFT(A1543,FIND("-",A1543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4" spans="1:4" x14ac:dyDescent="0.25">
      <c r="A1544" s="3" t="s">
        <v>1546</v>
      </c>
      <c r="B1544" s="4">
        <v>99</v>
      </c>
      <c r="C1544" s="3" t="str">
        <f ca="1">IFERROR(ROWSDUMMYFUNCTION(IF(A1544="","",IFERROR(IMAGE(CONCATENATE("https://us.pandora.net/on/demandware.static/-/Sites-pandora-master-catalog/default/dwbb259ca6/productimages/singlepackshot/",LEFT(A1544,FIND("-",A1544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4" s="5" t="str">
        <f ca="1">IFERROR(ROWSDUMMYFUNCTION(IF(A1544="","",CONCATENATE("https://us.pandora.net/on/demandware.static/-/Sites-pandora-master-catalog/default/dwbb259ca6/productimages/singlepackshot/",LEFT(A1544,FIND("-",A1544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5" spans="1:4" x14ac:dyDescent="0.25">
      <c r="A1545" s="3" t="s">
        <v>1547</v>
      </c>
      <c r="B1545" s="4">
        <v>99</v>
      </c>
      <c r="C1545" s="3" t="str">
        <f ca="1">IFERROR(ROWSDUMMYFUNCTION(IF(A1545="","",IFERROR(IMAGE(CONCATENATE("https://us.pandora.net/on/demandware.static/-/Sites-pandora-master-catalog/default/dwbb259ca6/productimages/singlepackshot/",LEFT(A1545,FIND("-",A1545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5" s="5" t="str">
        <f ca="1">IFERROR(ROWSDUMMYFUNCTION(IF(A1545="","",CONCATENATE("https://us.pandora.net/on/demandware.static/-/Sites-pandora-master-catalog/default/dwbb259ca6/productimages/singlepackshot/",LEFT(A1545,FIND("-",A1545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6" spans="1:4" x14ac:dyDescent="0.25">
      <c r="A1546" s="3" t="s">
        <v>1548</v>
      </c>
      <c r="B1546" s="4">
        <v>99</v>
      </c>
      <c r="C1546" s="3" t="str">
        <f ca="1">IFERROR(ROWSDUMMYFUNCTION(IF(A1546="","",IFERROR(IMAGE(CONCATENATE("https://us.pandora.net/on/demandware.static/-/Sites-pandora-master-catalog/default/dwbb259ca6/productimages/singlepackshot/",LEFT(A1546,FIND("-",A1546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6" s="5" t="str">
        <f ca="1">IFERROR(ROWSDUMMYFUNCTION(IF(A1546="","",CONCATENATE("https://us.pandora.net/on/demandware.static/-/Sites-pandora-master-catalog/default/dwbb259ca6/productimages/singlepackshot/",LEFT(A1546,FIND("-",A1546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7" spans="1:4" x14ac:dyDescent="0.25">
      <c r="A1547" s="3" t="s">
        <v>1549</v>
      </c>
      <c r="B1547" s="4">
        <v>99</v>
      </c>
      <c r="C1547" s="3" t="str">
        <f ca="1">IFERROR(ROWSDUMMYFUNCTION(IF(A1547="","",IFERROR(IMAGE(CONCATENATE("https://us.pandora.net/on/demandware.static/-/Sites-pandora-master-catalog/default/dwbb259ca6/productimages/singlepackshot/",LEFT(A1547,FIND("-",A1547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7" s="5" t="str">
        <f ca="1">IFERROR(ROWSDUMMYFUNCTION(IF(A1547="","",CONCATENATE("https://us.pandora.net/on/demandware.static/-/Sites-pandora-master-catalog/default/dwbb259ca6/productimages/singlepackshot/",LEFT(A1547,FIND("-",A1547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8" spans="1:4" x14ac:dyDescent="0.25">
      <c r="A1548" s="3" t="s">
        <v>1550</v>
      </c>
      <c r="B1548" s="4">
        <v>99</v>
      </c>
      <c r="C1548" s="3" t="str">
        <f ca="1">IFERROR(ROWSDUMMYFUNCTION(IF(A1548="","",IFERROR(IMAGE(CONCATENATE("https://us.pandora.net/on/demandware.static/-/Sites-pandora-master-catalog/default/dwbb259ca6/productimages/singlepackshot/",LEFT(A1548,FIND("-",A1548&amp;"-")-1),"_RGB.png")),""))),"{""url"":""https://us.pandora.net/on/demandware.static/-/Sites-pandora-master-catalog/default/dwbb259ca6/productimages/singlepackshot/193890C00_RGB.png"",""mode"":1}")</f>
        <v>{"url":"https://us.pandora.net/on/demandware.static/-/Sites-pandora-master-catalog/default/dwbb259ca6/productimages/singlepackshot/193890C00_RGB.png","mode":1}</v>
      </c>
      <c r="D1548" s="5" t="str">
        <f ca="1">IFERROR(ROWSDUMMYFUNCTION(IF(A1548="","",CONCATENATE("https://us.pandora.net/on/demandware.static/-/Sites-pandora-master-catalog/default/dwbb259ca6/productimages/singlepackshot/",LEFT(A1548,FIND("-",A1548&amp;"-")-1),"_RGB.png"))),"https://us.pandora.net/on/demandware.static/-/Sites-pandora-master-catalog/default/dwbb259ca6/productimages/singlepackshot/193890C00_RGB.png")</f>
        <v>https://us.pandora.net/on/demandware.static/-/Sites-pandora-master-catalog/default/dwbb259ca6/productimages/singlepackshot/193890C00_RGB.png</v>
      </c>
    </row>
    <row r="1549" spans="1:4" x14ac:dyDescent="0.25">
      <c r="A1549" s="3" t="s">
        <v>1551</v>
      </c>
      <c r="B1549" s="4">
        <v>39</v>
      </c>
      <c r="C1549" s="3" t="str">
        <f ca="1">IFERROR(ROWSDUMMYFUNCTION(IF(A1549="","",IFERROR(IMAGE(CONCATENATE("https://us.pandora.net/on/demandware.static/-/Sites-pandora-master-catalog/default/dwbb259ca6/productimages/singlepackshot/",LEFT(A1549,FIND("-",A1549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49" s="5" t="str">
        <f ca="1">IFERROR(ROWSDUMMYFUNCTION(IF(A1549="","",CONCATENATE("https://us.pandora.net/on/demandware.static/-/Sites-pandora-master-catalog/default/dwbb259ca6/productimages/singlepackshot/",LEFT(A1549,FIND("-",A1549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0" spans="1:4" x14ac:dyDescent="0.25">
      <c r="A1550" s="3" t="s">
        <v>1552</v>
      </c>
      <c r="B1550" s="4">
        <v>39</v>
      </c>
      <c r="C1550" s="3" t="str">
        <f ca="1">IFERROR(ROWSDUMMYFUNCTION(IF(A1550="","",IFERROR(IMAGE(CONCATENATE("https://us.pandora.net/on/demandware.static/-/Sites-pandora-master-catalog/default/dwbb259ca6/productimages/singlepackshot/",LEFT(A1550,FIND("-",A1550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50" s="5" t="str">
        <f ca="1">IFERROR(ROWSDUMMYFUNCTION(IF(A1550="","",CONCATENATE("https://us.pandora.net/on/demandware.static/-/Sites-pandora-master-catalog/default/dwbb259ca6/productimages/singlepackshot/",LEFT(A1550,FIND("-",A1550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1" spans="1:4" x14ac:dyDescent="0.25">
      <c r="A1551" s="3" t="s">
        <v>1553</v>
      </c>
      <c r="B1551" s="4">
        <v>39</v>
      </c>
      <c r="C1551" s="3" t="str">
        <f ca="1">IFERROR(ROWSDUMMYFUNCTION(IF(A1551="","",IFERROR(IMAGE(CONCATENATE("https://us.pandora.net/on/demandware.static/-/Sites-pandora-master-catalog/default/dwbb259ca6/productimages/singlepackshot/",LEFT(A1551,FIND("-",A1551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51" s="5" t="str">
        <f ca="1">IFERROR(ROWSDUMMYFUNCTION(IF(A1551="","",CONCATENATE("https://us.pandora.net/on/demandware.static/-/Sites-pandora-master-catalog/default/dwbb259ca6/productimages/singlepackshot/",LEFT(A1551,FIND("-",A1551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2" spans="1:4" x14ac:dyDescent="0.25">
      <c r="A1552" s="3" t="s">
        <v>1554</v>
      </c>
      <c r="B1552" s="4">
        <v>39</v>
      </c>
      <c r="C1552" s="3" t="str">
        <f ca="1">IFERROR(ROWSDUMMYFUNCTION(IF(A1552="","",IFERROR(IMAGE(CONCATENATE("https://us.pandora.net/on/demandware.static/-/Sites-pandora-master-catalog/default/dwbb259ca6/productimages/singlepackshot/",LEFT(A1552,FIND("-",A1552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52" s="5" t="str">
        <f ca="1">IFERROR(ROWSDUMMYFUNCTION(IF(A1552="","",CONCATENATE("https://us.pandora.net/on/demandware.static/-/Sites-pandora-master-catalog/default/dwbb259ca6/productimages/singlepackshot/",LEFT(A1552,FIND("-",A1552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3" spans="1:4" x14ac:dyDescent="0.25">
      <c r="A1553" s="3" t="s">
        <v>1555</v>
      </c>
      <c r="B1553" s="4">
        <v>39</v>
      </c>
      <c r="C1553" s="3" t="str">
        <f ca="1">IFERROR(ROWSDUMMYFUNCTION(IF(A1553="","",IFERROR(IMAGE(CONCATENATE("https://us.pandora.net/on/demandware.static/-/Sites-pandora-master-catalog/default/dwbb259ca6/productimages/singlepackshot/",LEFT(A1553,FIND("-",A1553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53" s="5" t="str">
        <f ca="1">IFERROR(ROWSDUMMYFUNCTION(IF(A1553="","",CONCATENATE("https://us.pandora.net/on/demandware.static/-/Sites-pandora-master-catalog/default/dwbb259ca6/productimages/singlepackshot/",LEFT(A1553,FIND("-",A1553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4" spans="1:4" x14ac:dyDescent="0.25">
      <c r="A1554" s="3" t="s">
        <v>1556</v>
      </c>
      <c r="B1554" s="4">
        <v>39</v>
      </c>
      <c r="C1554" s="3" t="str">
        <f ca="1">IFERROR(ROWSDUMMYFUNCTION(IF(A1554="","",IFERROR(IMAGE(CONCATENATE("https://us.pandora.net/on/demandware.static/-/Sites-pandora-master-catalog/default/dwbb259ca6/productimages/singlepackshot/",LEFT(A1554,FIND("-",A1554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54" s="5" t="str">
        <f ca="1">IFERROR(ROWSDUMMYFUNCTION(IF(A1554="","",CONCATENATE("https://us.pandora.net/on/demandware.static/-/Sites-pandora-master-catalog/default/dwbb259ca6/productimages/singlepackshot/",LEFT(A1554,FIND("-",A1554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5" spans="1:4" x14ac:dyDescent="0.25">
      <c r="A1555" s="3" t="s">
        <v>1557</v>
      </c>
      <c r="B1555" s="4">
        <v>39</v>
      </c>
      <c r="C1555" s="3" t="str">
        <f ca="1">IFERROR(ROWSDUMMYFUNCTION(IF(A1555="","",IFERROR(IMAGE(CONCATENATE("https://us.pandora.net/on/demandware.static/-/Sites-pandora-master-catalog/default/dwbb259ca6/productimages/singlepackshot/",LEFT(A1555,FIND("-",A1555&amp;"-")-1),"_RGB.png")),""))),"{""url"":""https://us.pandora.net/on/demandware.static/-/Sites-pandora-master-catalog/default/dwbb259ca6/productimages/singlepackshot/193986C00_RGB.png"",""mode"":1}")</f>
        <v>{"url":"https://us.pandora.net/on/demandware.static/-/Sites-pandora-master-catalog/default/dwbb259ca6/productimages/singlepackshot/193986C00_RGB.png","mode":1}</v>
      </c>
      <c r="D1555" s="5" t="str">
        <f ca="1">IFERROR(ROWSDUMMYFUNCTION(IF(A1555="","",CONCATENATE("https://us.pandora.net/on/demandware.static/-/Sites-pandora-master-catalog/default/dwbb259ca6/productimages/singlepackshot/",LEFT(A1555,FIND("-",A1555&amp;"-")-1),"_RGB.png"))),"https://us.pandora.net/on/demandware.static/-/Sites-pandora-master-catalog/default/dwbb259ca6/productimages/singlepackshot/193986C00_RGB.png")</f>
        <v>https://us.pandora.net/on/demandware.static/-/Sites-pandora-master-catalog/default/dwbb259ca6/productimages/singlepackshot/193986C00_RGB.png</v>
      </c>
    </row>
    <row r="1556" spans="1:4" x14ac:dyDescent="0.25">
      <c r="A1556" s="3" t="s">
        <v>1558</v>
      </c>
      <c r="B1556" s="4">
        <v>59</v>
      </c>
      <c r="C1556" s="3" t="str">
        <f ca="1">IFERROR(ROWSDUMMYFUNCTION(IF(A1556="","",IFERROR(IMAGE(CONCATENATE("https://us.pandora.net/on/demandware.static/-/Sites-pandora-master-catalog/default/dwbb259ca6/productimages/singlepackshot/",LEFT(A1556,FIND("-",A1556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56" s="5" t="str">
        <f ca="1">IFERROR(ROWSDUMMYFUNCTION(IF(A1556="","",CONCATENATE("https://us.pandora.net/on/demandware.static/-/Sites-pandora-master-catalog/default/dwbb259ca6/productimages/singlepackshot/",LEFT(A1556,FIND("-",A1556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57" spans="1:4" x14ac:dyDescent="0.25">
      <c r="A1557" s="3" t="s">
        <v>1559</v>
      </c>
      <c r="B1557" s="4">
        <v>59</v>
      </c>
      <c r="C1557" s="3" t="str">
        <f ca="1">IFERROR(ROWSDUMMYFUNCTION(IF(A1557="","",IFERROR(IMAGE(CONCATENATE("https://us.pandora.net/on/demandware.static/-/Sites-pandora-master-catalog/default/dwbb259ca6/productimages/singlepackshot/",LEFT(A1557,FIND("-",A1557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57" s="5" t="str">
        <f ca="1">IFERROR(ROWSDUMMYFUNCTION(IF(A1557="","",CONCATENATE("https://us.pandora.net/on/demandware.static/-/Sites-pandora-master-catalog/default/dwbb259ca6/productimages/singlepackshot/",LEFT(A1557,FIND("-",A1557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58" spans="1:4" x14ac:dyDescent="0.25">
      <c r="A1558" s="3" t="s">
        <v>1560</v>
      </c>
      <c r="B1558" s="4">
        <v>59</v>
      </c>
      <c r="C1558" s="3" t="str">
        <f ca="1">IFERROR(ROWSDUMMYFUNCTION(IF(A1558="","",IFERROR(IMAGE(CONCATENATE("https://us.pandora.net/on/demandware.static/-/Sites-pandora-master-catalog/default/dwbb259ca6/productimages/singlepackshot/",LEFT(A1558,FIND("-",A1558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58" s="5" t="str">
        <f ca="1">IFERROR(ROWSDUMMYFUNCTION(IF(A1558="","",CONCATENATE("https://us.pandora.net/on/demandware.static/-/Sites-pandora-master-catalog/default/dwbb259ca6/productimages/singlepackshot/",LEFT(A1558,FIND("-",A1558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59" spans="1:4" x14ac:dyDescent="0.25">
      <c r="A1559" s="3" t="s">
        <v>1561</v>
      </c>
      <c r="B1559" s="4">
        <v>59</v>
      </c>
      <c r="C1559" s="3" t="str">
        <f ca="1">IFERROR(ROWSDUMMYFUNCTION(IF(A1559="","",IFERROR(IMAGE(CONCATENATE("https://us.pandora.net/on/demandware.static/-/Sites-pandora-master-catalog/default/dwbb259ca6/productimages/singlepackshot/",LEFT(A1559,FIND("-",A1559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59" s="5" t="str">
        <f ca="1">IFERROR(ROWSDUMMYFUNCTION(IF(A1559="","",CONCATENATE("https://us.pandora.net/on/demandware.static/-/Sites-pandora-master-catalog/default/dwbb259ca6/productimages/singlepackshot/",LEFT(A1559,FIND("-",A1559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60" spans="1:4" x14ac:dyDescent="0.25">
      <c r="A1560" s="3" t="s">
        <v>1562</v>
      </c>
      <c r="B1560" s="4">
        <v>59</v>
      </c>
      <c r="C1560" s="3" t="str">
        <f ca="1">IFERROR(ROWSDUMMYFUNCTION(IF(A1560="","",IFERROR(IMAGE(CONCATENATE("https://us.pandora.net/on/demandware.static/-/Sites-pandora-master-catalog/default/dwbb259ca6/productimages/singlepackshot/",LEFT(A1560,FIND("-",A1560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60" s="5" t="str">
        <f ca="1">IFERROR(ROWSDUMMYFUNCTION(IF(A1560="","",CONCATENATE("https://us.pandora.net/on/demandware.static/-/Sites-pandora-master-catalog/default/dwbb259ca6/productimages/singlepackshot/",LEFT(A1560,FIND("-",A1560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61" spans="1:4" x14ac:dyDescent="0.25">
      <c r="A1561" s="3" t="s">
        <v>1563</v>
      </c>
      <c r="B1561" s="4">
        <v>59</v>
      </c>
      <c r="C1561" s="3" t="str">
        <f ca="1">IFERROR(ROWSDUMMYFUNCTION(IF(A1561="","",IFERROR(IMAGE(CONCATENATE("https://us.pandora.net/on/demandware.static/-/Sites-pandora-master-catalog/default/dwbb259ca6/productimages/singlepackshot/",LEFT(A1561,FIND("-",A1561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61" s="5" t="str">
        <f ca="1">IFERROR(ROWSDUMMYFUNCTION(IF(A1561="","",CONCATENATE("https://us.pandora.net/on/demandware.static/-/Sites-pandora-master-catalog/default/dwbb259ca6/productimages/singlepackshot/",LEFT(A1561,FIND("-",A1561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62" spans="1:4" x14ac:dyDescent="0.25">
      <c r="A1562" s="3" t="s">
        <v>1564</v>
      </c>
      <c r="B1562" s="4">
        <v>59</v>
      </c>
      <c r="C1562" s="3" t="str">
        <f ca="1">IFERROR(ROWSDUMMYFUNCTION(IF(A1562="","",IFERROR(IMAGE(CONCATENATE("https://us.pandora.net/on/demandware.static/-/Sites-pandora-master-catalog/default/dwbb259ca6/productimages/singlepackshot/",LEFT(A1562,FIND("-",A1562&amp;"-")-1),"_RGB.png")),""))),"{""url"":""https://us.pandora.net/on/demandware.static/-/Sites-pandora-master-catalog/default/dwbb259ca6/productimages/singlepackshot/193988C00_RGB.png"",""mode"":1}")</f>
        <v>{"url":"https://us.pandora.net/on/demandware.static/-/Sites-pandora-master-catalog/default/dwbb259ca6/productimages/singlepackshot/193988C00_RGB.png","mode":1}</v>
      </c>
      <c r="D1562" s="5" t="str">
        <f ca="1">IFERROR(ROWSDUMMYFUNCTION(IF(A1562="","",CONCATENATE("https://us.pandora.net/on/demandware.static/-/Sites-pandora-master-catalog/default/dwbb259ca6/productimages/singlepackshot/",LEFT(A1562,FIND("-",A1562&amp;"-")-1),"_RGB.png"))),"https://us.pandora.net/on/demandware.static/-/Sites-pandora-master-catalog/default/dwbb259ca6/productimages/singlepackshot/193988C00_RGB.png")</f>
        <v>https://us.pandora.net/on/demandware.static/-/Sites-pandora-master-catalog/default/dwbb259ca6/productimages/singlepackshot/193988C00_RGB.png</v>
      </c>
    </row>
    <row r="1563" spans="1:4" x14ac:dyDescent="0.25">
      <c r="A1563" s="3" t="s">
        <v>1565</v>
      </c>
      <c r="B1563" s="4">
        <v>79</v>
      </c>
      <c r="C1563" s="3" t="str">
        <f ca="1">IFERROR(ROWSDUMMYFUNCTION(IF(A1563="","",IFERROR(IMAGE(CONCATENATE("https://us.pandora.net/on/demandware.static/-/Sites-pandora-master-catalog/default/dwbb259ca6/productimages/singlepackshot/",LEFT(A1563,FIND("-",A1563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3" s="5" t="str">
        <f ca="1">IFERROR(ROWSDUMMYFUNCTION(IF(A1563="","",CONCATENATE("https://us.pandora.net/on/demandware.static/-/Sites-pandora-master-catalog/default/dwbb259ca6/productimages/singlepackshot/",LEFT(A1563,FIND("-",A1563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64" spans="1:4" x14ac:dyDescent="0.25">
      <c r="A1564" s="3" t="s">
        <v>1566</v>
      </c>
      <c r="B1564" s="4">
        <v>79</v>
      </c>
      <c r="C1564" s="3" t="str">
        <f ca="1">IFERROR(ROWSDUMMYFUNCTION(IF(A1564="","",IFERROR(IMAGE(CONCATENATE("https://us.pandora.net/on/demandware.static/-/Sites-pandora-master-catalog/default/dwbb259ca6/productimages/singlepackshot/",LEFT(A1564,FIND("-",A1564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4" s="5" t="str">
        <f ca="1">IFERROR(ROWSDUMMYFUNCTION(IF(A1564="","",CONCATENATE("https://us.pandora.net/on/demandware.static/-/Sites-pandora-master-catalog/default/dwbb259ca6/productimages/singlepackshot/",LEFT(A1564,FIND("-",A1564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65" spans="1:4" x14ac:dyDescent="0.25">
      <c r="A1565" s="3" t="s">
        <v>1567</v>
      </c>
      <c r="B1565" s="4">
        <v>79</v>
      </c>
      <c r="C1565" s="3" t="str">
        <f ca="1">IFERROR(ROWSDUMMYFUNCTION(IF(A1565="","",IFERROR(IMAGE(CONCATENATE("https://us.pandora.net/on/demandware.static/-/Sites-pandora-master-catalog/default/dwbb259ca6/productimages/singlepackshot/",LEFT(A1565,FIND("-",A1565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5" s="5" t="str">
        <f ca="1">IFERROR(ROWSDUMMYFUNCTION(IF(A1565="","",CONCATENATE("https://us.pandora.net/on/demandware.static/-/Sites-pandora-master-catalog/default/dwbb259ca6/productimages/singlepackshot/",LEFT(A1565,FIND("-",A1565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66" spans="1:4" x14ac:dyDescent="0.25">
      <c r="A1566" s="3" t="s">
        <v>1568</v>
      </c>
      <c r="B1566" s="4">
        <v>79</v>
      </c>
      <c r="C1566" s="3" t="str">
        <f ca="1">IFERROR(ROWSDUMMYFUNCTION(IF(A1566="","",IFERROR(IMAGE(CONCATENATE("https://us.pandora.net/on/demandware.static/-/Sites-pandora-master-catalog/default/dwbb259ca6/productimages/singlepackshot/",LEFT(A1566,FIND("-",A1566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6" s="5" t="str">
        <f ca="1">IFERROR(ROWSDUMMYFUNCTION(IF(A1566="","",CONCATENATE("https://us.pandora.net/on/demandware.static/-/Sites-pandora-master-catalog/default/dwbb259ca6/productimages/singlepackshot/",LEFT(A1566,FIND("-",A1566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67" spans="1:4" x14ac:dyDescent="0.25">
      <c r="A1567" s="3" t="s">
        <v>1569</v>
      </c>
      <c r="B1567" s="4">
        <v>79</v>
      </c>
      <c r="C1567" s="3" t="str">
        <f ca="1">IFERROR(ROWSDUMMYFUNCTION(IF(A1567="","",IFERROR(IMAGE(CONCATENATE("https://us.pandora.net/on/demandware.static/-/Sites-pandora-master-catalog/default/dwbb259ca6/productimages/singlepackshot/",LEFT(A1567,FIND("-",A1567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7" s="5" t="str">
        <f ca="1">IFERROR(ROWSDUMMYFUNCTION(IF(A1567="","",CONCATENATE("https://us.pandora.net/on/demandware.static/-/Sites-pandora-master-catalog/default/dwbb259ca6/productimages/singlepackshot/",LEFT(A1567,FIND("-",A1567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68" spans="1:4" x14ac:dyDescent="0.25">
      <c r="A1568" s="3" t="s">
        <v>1570</v>
      </c>
      <c r="B1568" s="4">
        <v>79</v>
      </c>
      <c r="C1568" s="3" t="str">
        <f ca="1">IFERROR(ROWSDUMMYFUNCTION(IF(A1568="","",IFERROR(IMAGE(CONCATENATE("https://us.pandora.net/on/demandware.static/-/Sites-pandora-master-catalog/default/dwbb259ca6/productimages/singlepackshot/",LEFT(A1568,FIND("-",A1568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8" s="5" t="str">
        <f ca="1">IFERROR(ROWSDUMMYFUNCTION(IF(A1568="","",CONCATENATE("https://us.pandora.net/on/demandware.static/-/Sites-pandora-master-catalog/default/dwbb259ca6/productimages/singlepackshot/",LEFT(A1568,FIND("-",A1568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69" spans="1:4" x14ac:dyDescent="0.25">
      <c r="A1569" s="3" t="s">
        <v>1571</v>
      </c>
      <c r="B1569" s="4">
        <v>79</v>
      </c>
      <c r="C1569" s="3" t="str">
        <f ca="1">IFERROR(ROWSDUMMYFUNCTION(IF(A1569="","",IFERROR(IMAGE(CONCATENATE("https://us.pandora.net/on/demandware.static/-/Sites-pandora-master-catalog/default/dwbb259ca6/productimages/singlepackshot/",LEFT(A1569,FIND("-",A1569&amp;"-")-1),"_RGB.png")),""))),"{""url"":""https://us.pandora.net/on/demandware.static/-/Sites-pandora-master-catalog/default/dwbb259ca6/productimages/singlepackshot/194134C01_RGB.png"",""mode"":1}")</f>
        <v>{"url":"https://us.pandora.net/on/demandware.static/-/Sites-pandora-master-catalog/default/dwbb259ca6/productimages/singlepackshot/194134C01_RGB.png","mode":1}</v>
      </c>
      <c r="D1569" s="5" t="str">
        <f ca="1">IFERROR(ROWSDUMMYFUNCTION(IF(A1569="","",CONCATENATE("https://us.pandora.net/on/demandware.static/-/Sites-pandora-master-catalog/default/dwbb259ca6/productimages/singlepackshot/",LEFT(A1569,FIND("-",A1569&amp;"-")-1),"_RGB.png"))),"https://us.pandora.net/on/demandware.static/-/Sites-pandora-master-catalog/default/dwbb259ca6/productimages/singlepackshot/194134C01_RGB.png")</f>
        <v>https://us.pandora.net/on/demandware.static/-/Sites-pandora-master-catalog/default/dwbb259ca6/productimages/singlepackshot/194134C01_RGB.png</v>
      </c>
    </row>
    <row r="1570" spans="1:4" x14ac:dyDescent="0.25">
      <c r="A1570" s="3" t="s">
        <v>1572</v>
      </c>
      <c r="B1570" s="4">
        <v>79</v>
      </c>
      <c r="C1570" s="3" t="str">
        <f ca="1">IFERROR(ROWSDUMMYFUNCTION(IF(A1570="","",IFERROR(IMAGE(CONCATENATE("https://us.pandora.net/on/demandware.static/-/Sites-pandora-master-catalog/default/dwbb259ca6/productimages/singlepackshot/",LEFT(A1570,FIND("-",A1570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0" s="5" t="str">
        <f ca="1">IFERROR(ROWSDUMMYFUNCTION(IF(A1570="","",CONCATENATE("https://us.pandora.net/on/demandware.static/-/Sites-pandora-master-catalog/default/dwbb259ca6/productimages/singlepackshot/",LEFT(A1570,FIND("-",A1570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1" spans="1:4" x14ac:dyDescent="0.25">
      <c r="A1571" s="3" t="s">
        <v>1573</v>
      </c>
      <c r="B1571" s="4">
        <v>79</v>
      </c>
      <c r="C1571" s="3" t="str">
        <f ca="1">IFERROR(ROWSDUMMYFUNCTION(IF(A1571="","",IFERROR(IMAGE(CONCATENATE("https://us.pandora.net/on/demandware.static/-/Sites-pandora-master-catalog/default/dwbb259ca6/productimages/singlepackshot/",LEFT(A1571,FIND("-",A1571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1" s="5" t="str">
        <f ca="1">IFERROR(ROWSDUMMYFUNCTION(IF(A1571="","",CONCATENATE("https://us.pandora.net/on/demandware.static/-/Sites-pandora-master-catalog/default/dwbb259ca6/productimages/singlepackshot/",LEFT(A1571,FIND("-",A1571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2" spans="1:4" x14ac:dyDescent="0.25">
      <c r="A1572" s="3" t="s">
        <v>1574</v>
      </c>
      <c r="B1572" s="4">
        <v>79</v>
      </c>
      <c r="C1572" s="3" t="str">
        <f ca="1">IFERROR(ROWSDUMMYFUNCTION(IF(A1572="","",IFERROR(IMAGE(CONCATENATE("https://us.pandora.net/on/demandware.static/-/Sites-pandora-master-catalog/default/dwbb259ca6/productimages/singlepackshot/",LEFT(A1572,FIND("-",A1572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2" s="5" t="str">
        <f ca="1">IFERROR(ROWSDUMMYFUNCTION(IF(A1572="","",CONCATENATE("https://us.pandora.net/on/demandware.static/-/Sites-pandora-master-catalog/default/dwbb259ca6/productimages/singlepackshot/",LEFT(A1572,FIND("-",A1572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3" spans="1:4" x14ac:dyDescent="0.25">
      <c r="A1573" s="3" t="s">
        <v>1575</v>
      </c>
      <c r="B1573" s="4">
        <v>79</v>
      </c>
      <c r="C1573" s="3" t="str">
        <f ca="1">IFERROR(ROWSDUMMYFUNCTION(IF(A1573="","",IFERROR(IMAGE(CONCATENATE("https://us.pandora.net/on/demandware.static/-/Sites-pandora-master-catalog/default/dwbb259ca6/productimages/singlepackshot/",LEFT(A1573,FIND("-",A1573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3" s="5" t="str">
        <f ca="1">IFERROR(ROWSDUMMYFUNCTION(IF(A1573="","",CONCATENATE("https://us.pandora.net/on/demandware.static/-/Sites-pandora-master-catalog/default/dwbb259ca6/productimages/singlepackshot/",LEFT(A1573,FIND("-",A1573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4" spans="1:4" x14ac:dyDescent="0.25">
      <c r="A1574" s="3" t="s">
        <v>1576</v>
      </c>
      <c r="B1574" s="4">
        <v>79</v>
      </c>
      <c r="C1574" s="3" t="str">
        <f ca="1">IFERROR(ROWSDUMMYFUNCTION(IF(A1574="","",IFERROR(IMAGE(CONCATENATE("https://us.pandora.net/on/demandware.static/-/Sites-pandora-master-catalog/default/dwbb259ca6/productimages/singlepackshot/",LEFT(A1574,FIND("-",A1574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4" s="5" t="str">
        <f ca="1">IFERROR(ROWSDUMMYFUNCTION(IF(A1574="","",CONCATENATE("https://us.pandora.net/on/demandware.static/-/Sites-pandora-master-catalog/default/dwbb259ca6/productimages/singlepackshot/",LEFT(A1574,FIND("-",A1574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5" spans="1:4" x14ac:dyDescent="0.25">
      <c r="A1575" s="3" t="s">
        <v>1577</v>
      </c>
      <c r="B1575" s="4">
        <v>79</v>
      </c>
      <c r="C1575" s="3" t="str">
        <f ca="1">IFERROR(ROWSDUMMYFUNCTION(IF(A1575="","",IFERROR(IMAGE(CONCATENATE("https://us.pandora.net/on/demandware.static/-/Sites-pandora-master-catalog/default/dwbb259ca6/productimages/singlepackshot/",LEFT(A1575,FIND("-",A1575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5" s="5" t="str">
        <f ca="1">IFERROR(ROWSDUMMYFUNCTION(IF(A1575="","",CONCATENATE("https://us.pandora.net/on/demandware.static/-/Sites-pandora-master-catalog/default/dwbb259ca6/productimages/singlepackshot/",LEFT(A1575,FIND("-",A1575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6" spans="1:4" x14ac:dyDescent="0.25">
      <c r="A1576" s="3" t="s">
        <v>1578</v>
      </c>
      <c r="B1576" s="4">
        <v>79</v>
      </c>
      <c r="C1576" s="3" t="str">
        <f ca="1">IFERROR(ROWSDUMMYFUNCTION(IF(A1576="","",IFERROR(IMAGE(CONCATENATE("https://us.pandora.net/on/demandware.static/-/Sites-pandora-master-catalog/default/dwbb259ca6/productimages/singlepackshot/",LEFT(A1576,FIND("-",A1576&amp;"-")-1),"_RGB.png")),""))),"{""url"":""https://us.pandora.net/on/demandware.static/-/Sites-pandora-master-catalog/default/dwbb259ca6/productimages/singlepackshot/194223C01_RGB.png"",""mode"":1}")</f>
        <v>{"url":"https://us.pandora.net/on/demandware.static/-/Sites-pandora-master-catalog/default/dwbb259ca6/productimages/singlepackshot/194223C01_RGB.png","mode":1}</v>
      </c>
      <c r="D1576" s="5" t="str">
        <f ca="1">IFERROR(ROWSDUMMYFUNCTION(IF(A1576="","",CONCATENATE("https://us.pandora.net/on/demandware.static/-/Sites-pandora-master-catalog/default/dwbb259ca6/productimages/singlepackshot/",LEFT(A1576,FIND("-",A1576&amp;"-")-1),"_RGB.png"))),"https://us.pandora.net/on/demandware.static/-/Sites-pandora-master-catalog/default/dwbb259ca6/productimages/singlepackshot/194223C01_RGB.png")</f>
        <v>https://us.pandora.net/on/demandware.static/-/Sites-pandora-master-catalog/default/dwbb259ca6/productimages/singlepackshot/194223C01_RGB.png</v>
      </c>
    </row>
    <row r="1577" spans="1:4" x14ac:dyDescent="0.25">
      <c r="A1577" s="3" t="s">
        <v>1579</v>
      </c>
      <c r="B1577" s="4">
        <v>79</v>
      </c>
      <c r="C1577" s="3" t="str">
        <f ca="1">IFERROR(ROWSDUMMYFUNCTION(IF(A1577="","",IFERROR(IMAGE(CONCATENATE("https://us.pandora.net/on/demandware.static/-/Sites-pandora-master-catalog/default/dwbb259ca6/productimages/singlepackshot/",LEFT(A1577,FIND("-",A1577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77" s="5" t="str">
        <f ca="1">IFERROR(ROWSDUMMYFUNCTION(IF(A1577="","",CONCATENATE("https://us.pandora.net/on/demandware.static/-/Sites-pandora-master-catalog/default/dwbb259ca6/productimages/singlepackshot/",LEFT(A1577,FIND("-",A1577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78" spans="1:4" x14ac:dyDescent="0.25">
      <c r="A1578" s="3" t="s">
        <v>1580</v>
      </c>
      <c r="B1578" s="4">
        <v>79</v>
      </c>
      <c r="C1578" s="3" t="str">
        <f ca="1">IFERROR(ROWSDUMMYFUNCTION(IF(A1578="","",IFERROR(IMAGE(CONCATENATE("https://us.pandora.net/on/demandware.static/-/Sites-pandora-master-catalog/default/dwbb259ca6/productimages/singlepackshot/",LEFT(A1578,FIND("-",A1578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78" s="5" t="str">
        <f ca="1">IFERROR(ROWSDUMMYFUNCTION(IF(A1578="","",CONCATENATE("https://us.pandora.net/on/demandware.static/-/Sites-pandora-master-catalog/default/dwbb259ca6/productimages/singlepackshot/",LEFT(A1578,FIND("-",A1578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79" spans="1:4" x14ac:dyDescent="0.25">
      <c r="A1579" s="3" t="s">
        <v>1581</v>
      </c>
      <c r="B1579" s="4">
        <v>79</v>
      </c>
      <c r="C1579" s="3" t="str">
        <f ca="1">IFERROR(ROWSDUMMYFUNCTION(IF(A1579="","",IFERROR(IMAGE(CONCATENATE("https://us.pandora.net/on/demandware.static/-/Sites-pandora-master-catalog/default/dwbb259ca6/productimages/singlepackshot/",LEFT(A1579,FIND("-",A1579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79" s="5" t="str">
        <f ca="1">IFERROR(ROWSDUMMYFUNCTION(IF(A1579="","",CONCATENATE("https://us.pandora.net/on/demandware.static/-/Sites-pandora-master-catalog/default/dwbb259ca6/productimages/singlepackshot/",LEFT(A1579,FIND("-",A1579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80" spans="1:4" x14ac:dyDescent="0.25">
      <c r="A1580" s="3" t="s">
        <v>1582</v>
      </c>
      <c r="B1580" s="4">
        <v>79</v>
      </c>
      <c r="C1580" s="3" t="str">
        <f ca="1">IFERROR(ROWSDUMMYFUNCTION(IF(A1580="","",IFERROR(IMAGE(CONCATENATE("https://us.pandora.net/on/demandware.static/-/Sites-pandora-master-catalog/default/dwbb259ca6/productimages/singlepackshot/",LEFT(A1580,FIND("-",A1580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80" s="5" t="str">
        <f ca="1">IFERROR(ROWSDUMMYFUNCTION(IF(A1580="","",CONCATENATE("https://us.pandora.net/on/demandware.static/-/Sites-pandora-master-catalog/default/dwbb259ca6/productimages/singlepackshot/",LEFT(A1580,FIND("-",A1580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81" spans="1:4" x14ac:dyDescent="0.25">
      <c r="A1581" s="3" t="s">
        <v>1583</v>
      </c>
      <c r="B1581" s="4">
        <v>79</v>
      </c>
      <c r="C1581" s="3" t="str">
        <f ca="1">IFERROR(ROWSDUMMYFUNCTION(IF(A1581="","",IFERROR(IMAGE(CONCATENATE("https://us.pandora.net/on/demandware.static/-/Sites-pandora-master-catalog/default/dwbb259ca6/productimages/singlepackshot/",LEFT(A1581,FIND("-",A1581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81" s="5" t="str">
        <f ca="1">IFERROR(ROWSDUMMYFUNCTION(IF(A1581="","",CONCATENATE("https://us.pandora.net/on/demandware.static/-/Sites-pandora-master-catalog/default/dwbb259ca6/productimages/singlepackshot/",LEFT(A1581,FIND("-",A1581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82" spans="1:4" x14ac:dyDescent="0.25">
      <c r="A1582" s="3" t="s">
        <v>1584</v>
      </c>
      <c r="B1582" s="4">
        <v>79</v>
      </c>
      <c r="C1582" s="3" t="str">
        <f ca="1">IFERROR(ROWSDUMMYFUNCTION(IF(A1582="","",IFERROR(IMAGE(CONCATENATE("https://us.pandora.net/on/demandware.static/-/Sites-pandora-master-catalog/default/dwbb259ca6/productimages/singlepackshot/",LEFT(A1582,FIND("-",A1582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82" s="5" t="str">
        <f ca="1">IFERROR(ROWSDUMMYFUNCTION(IF(A1582="","",CONCATENATE("https://us.pandora.net/on/demandware.static/-/Sites-pandora-master-catalog/default/dwbb259ca6/productimages/singlepackshot/",LEFT(A1582,FIND("-",A1582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83" spans="1:4" x14ac:dyDescent="0.25">
      <c r="A1583" s="3" t="s">
        <v>1585</v>
      </c>
      <c r="B1583" s="4">
        <v>79</v>
      </c>
      <c r="C1583" s="3" t="str">
        <f ca="1">IFERROR(ROWSDUMMYFUNCTION(IF(A1583="","",IFERROR(IMAGE(CONCATENATE("https://us.pandora.net/on/demandware.static/-/Sites-pandora-master-catalog/default/dwbb259ca6/productimages/singlepackshot/",LEFT(A1583,FIND("-",A1583&amp;"-")-1),"_RGB.png")),""))),"{""url"":""https://us.pandora.net/on/demandware.static/-/Sites-pandora-master-catalog/default/dwbb259ca6/productimages/singlepackshot/194233C01_RGB.png"",""mode"":1}")</f>
        <v>{"url":"https://us.pandora.net/on/demandware.static/-/Sites-pandora-master-catalog/default/dwbb259ca6/productimages/singlepackshot/194233C01_RGB.png","mode":1}</v>
      </c>
      <c r="D1583" s="5" t="str">
        <f ca="1">IFERROR(ROWSDUMMYFUNCTION(IF(A1583="","",CONCATENATE("https://us.pandora.net/on/demandware.static/-/Sites-pandora-master-catalog/default/dwbb259ca6/productimages/singlepackshot/",LEFT(A1583,FIND("-",A1583&amp;"-")-1),"_RGB.png"))),"https://us.pandora.net/on/demandware.static/-/Sites-pandora-master-catalog/default/dwbb259ca6/productimages/singlepackshot/194233C01_RGB.png")</f>
        <v>https://us.pandora.net/on/demandware.static/-/Sites-pandora-master-catalog/default/dwbb259ca6/productimages/singlepackshot/194233C01_RGB.png</v>
      </c>
    </row>
    <row r="1584" spans="1:4" x14ac:dyDescent="0.25">
      <c r="A1584" s="3" t="s">
        <v>1586</v>
      </c>
      <c r="B1584" s="4">
        <v>29</v>
      </c>
      <c r="C1584" s="3" t="str">
        <f ca="1">IFERROR(ROWSDUMMYFUNCTION(IF(A1584="","",IFERROR(IMAGE(CONCATENATE("https://us.pandora.net/on/demandware.static/-/Sites-pandora-master-catalog/default/dwbb259ca6/productimages/singlepackshot/",LEFT(A1584,FIND("-",A1584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84" s="5" t="str">
        <f ca="1">IFERROR(ROWSDUMMYFUNCTION(IF(A1584="","",CONCATENATE("https://us.pandora.net/on/demandware.static/-/Sites-pandora-master-catalog/default/dwbb259ca6/productimages/singlepackshot/",LEFT(A1584,FIND("-",A1584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85" spans="1:4" x14ac:dyDescent="0.25">
      <c r="A1585" s="3" t="s">
        <v>1587</v>
      </c>
      <c r="B1585" s="4">
        <v>29</v>
      </c>
      <c r="C1585" s="3" t="str">
        <f ca="1">IFERROR(ROWSDUMMYFUNCTION(IF(A1585="","",IFERROR(IMAGE(CONCATENATE("https://us.pandora.net/on/demandware.static/-/Sites-pandora-master-catalog/default/dwbb259ca6/productimages/singlepackshot/",LEFT(A1585,FIND("-",A1585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85" s="5" t="str">
        <f ca="1">IFERROR(ROWSDUMMYFUNCTION(IF(A1585="","",CONCATENATE("https://us.pandora.net/on/demandware.static/-/Sites-pandora-master-catalog/default/dwbb259ca6/productimages/singlepackshot/",LEFT(A1585,FIND("-",A1585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86" spans="1:4" x14ac:dyDescent="0.25">
      <c r="A1586" s="3" t="s">
        <v>1588</v>
      </c>
      <c r="B1586" s="4">
        <v>29</v>
      </c>
      <c r="C1586" s="3" t="str">
        <f ca="1">IFERROR(ROWSDUMMYFUNCTION(IF(A1586="","",IFERROR(IMAGE(CONCATENATE("https://us.pandora.net/on/demandware.static/-/Sites-pandora-master-catalog/default/dwbb259ca6/productimages/singlepackshot/",LEFT(A1586,FIND("-",A1586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86" s="5" t="str">
        <f ca="1">IFERROR(ROWSDUMMYFUNCTION(IF(A1586="","",CONCATENATE("https://us.pandora.net/on/demandware.static/-/Sites-pandora-master-catalog/default/dwbb259ca6/productimages/singlepackshot/",LEFT(A1586,FIND("-",A1586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87" spans="1:4" x14ac:dyDescent="0.25">
      <c r="A1587" s="3" t="s">
        <v>1589</v>
      </c>
      <c r="B1587" s="4">
        <v>29</v>
      </c>
      <c r="C1587" s="3" t="str">
        <f ca="1">IFERROR(ROWSDUMMYFUNCTION(IF(A1587="","",IFERROR(IMAGE(CONCATENATE("https://us.pandora.net/on/demandware.static/-/Sites-pandora-master-catalog/default/dwbb259ca6/productimages/singlepackshot/",LEFT(A1587,FIND("-",A1587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87" s="5" t="str">
        <f ca="1">IFERROR(ROWSDUMMYFUNCTION(IF(A1587="","",CONCATENATE("https://us.pandora.net/on/demandware.static/-/Sites-pandora-master-catalog/default/dwbb259ca6/productimages/singlepackshot/",LEFT(A1587,FIND("-",A1587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88" spans="1:4" x14ac:dyDescent="0.25">
      <c r="A1588" s="3" t="s">
        <v>1590</v>
      </c>
      <c r="B1588" s="4">
        <v>29</v>
      </c>
      <c r="C1588" s="3" t="str">
        <f ca="1">IFERROR(ROWSDUMMYFUNCTION(IF(A1588="","",IFERROR(IMAGE(CONCATENATE("https://us.pandora.net/on/demandware.static/-/Sites-pandora-master-catalog/default/dwbb259ca6/productimages/singlepackshot/",LEFT(A1588,FIND("-",A1588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88" s="5" t="str">
        <f ca="1">IFERROR(ROWSDUMMYFUNCTION(IF(A1588="","",CONCATENATE("https://us.pandora.net/on/demandware.static/-/Sites-pandora-master-catalog/default/dwbb259ca6/productimages/singlepackshot/",LEFT(A1588,FIND("-",A1588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89" spans="1:4" x14ac:dyDescent="0.25">
      <c r="A1589" s="3" t="s">
        <v>1591</v>
      </c>
      <c r="B1589" s="4">
        <v>29</v>
      </c>
      <c r="C1589" s="3" t="str">
        <f ca="1">IFERROR(ROWSDUMMYFUNCTION(IF(A1589="","",IFERROR(IMAGE(CONCATENATE("https://us.pandora.net/on/demandware.static/-/Sites-pandora-master-catalog/default/dwbb259ca6/productimages/singlepackshot/",LEFT(A1589,FIND("-",A1589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89" s="5" t="str">
        <f ca="1">IFERROR(ROWSDUMMYFUNCTION(IF(A1589="","",CONCATENATE("https://us.pandora.net/on/demandware.static/-/Sites-pandora-master-catalog/default/dwbb259ca6/productimages/singlepackshot/",LEFT(A1589,FIND("-",A1589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90" spans="1:4" x14ac:dyDescent="0.25">
      <c r="A1590" s="3" t="s">
        <v>1592</v>
      </c>
      <c r="B1590" s="4">
        <v>29</v>
      </c>
      <c r="C1590" s="3" t="str">
        <f ca="1">IFERROR(ROWSDUMMYFUNCTION(IF(A1590="","",IFERROR(IMAGE(CONCATENATE("https://us.pandora.net/on/demandware.static/-/Sites-pandora-master-catalog/default/dwbb259ca6/productimages/singlepackshot/",LEFT(A1590,FIND("-",A1590&amp;"-")-1),"_RGB.png")),""))),"{""url"":""https://us.pandora.net/on/demandware.static/-/Sites-pandora-master-catalog/default/dwbb259ca6/productimages/singlepackshot/194258C00_RGB.png"",""mode"":1}")</f>
        <v>{"url":"https://us.pandora.net/on/demandware.static/-/Sites-pandora-master-catalog/default/dwbb259ca6/productimages/singlepackshot/194258C00_RGB.png","mode":1}</v>
      </c>
      <c r="D1590" s="5" t="str">
        <f ca="1">IFERROR(ROWSDUMMYFUNCTION(IF(A1590="","",CONCATENATE("https://us.pandora.net/on/demandware.static/-/Sites-pandora-master-catalog/default/dwbb259ca6/productimages/singlepackshot/",LEFT(A1590,FIND("-",A1590&amp;"-")-1),"_RGB.png"))),"https://us.pandora.net/on/demandware.static/-/Sites-pandora-master-catalog/default/dwbb259ca6/productimages/singlepackshot/194258C00_RGB.png")</f>
        <v>https://us.pandora.net/on/demandware.static/-/Sites-pandora-master-catalog/default/dwbb259ca6/productimages/singlepackshot/194258C00_RGB.png</v>
      </c>
    </row>
    <row r="1591" spans="1:4" x14ac:dyDescent="0.25">
      <c r="A1591" s="3" t="s">
        <v>1593</v>
      </c>
      <c r="B1591" s="4">
        <v>49</v>
      </c>
      <c r="C1591" s="3" t="str">
        <f ca="1">IFERROR(ROWSDUMMYFUNCTION(IF(A1591="","",IFERROR(IMAGE(CONCATENATE("https://us.pandora.net/on/demandware.static/-/Sites-pandora-master-catalog/default/dwbb259ca6/productimages/singlepackshot/",LEFT(A1591,FIND("-",A1591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1" s="5" t="str">
        <f ca="1">IFERROR(ROWSDUMMYFUNCTION(IF(A1591="","",CONCATENATE("https://us.pandora.net/on/demandware.static/-/Sites-pandora-master-catalog/default/dwbb259ca6/productimages/singlepackshot/",LEFT(A1591,FIND("-",A1591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2" spans="1:4" x14ac:dyDescent="0.25">
      <c r="A1592" s="3" t="s">
        <v>1594</v>
      </c>
      <c r="B1592" s="4">
        <v>49</v>
      </c>
      <c r="C1592" s="3" t="str">
        <f ca="1">IFERROR(ROWSDUMMYFUNCTION(IF(A1592="","",IFERROR(IMAGE(CONCATENATE("https://us.pandora.net/on/demandware.static/-/Sites-pandora-master-catalog/default/dwbb259ca6/productimages/singlepackshot/",LEFT(A1592,FIND("-",A1592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2" s="5" t="str">
        <f ca="1">IFERROR(ROWSDUMMYFUNCTION(IF(A1592="","",CONCATENATE("https://us.pandora.net/on/demandware.static/-/Sites-pandora-master-catalog/default/dwbb259ca6/productimages/singlepackshot/",LEFT(A1592,FIND("-",A1592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3" spans="1:4" x14ac:dyDescent="0.25">
      <c r="A1593" s="3" t="s">
        <v>1595</v>
      </c>
      <c r="B1593" s="4">
        <v>49</v>
      </c>
      <c r="C1593" s="3" t="str">
        <f ca="1">IFERROR(ROWSDUMMYFUNCTION(IF(A1593="","",IFERROR(IMAGE(CONCATENATE("https://us.pandora.net/on/demandware.static/-/Sites-pandora-master-catalog/default/dwbb259ca6/productimages/singlepackshot/",LEFT(A1593,FIND("-",A1593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3" s="5" t="str">
        <f ca="1">IFERROR(ROWSDUMMYFUNCTION(IF(A1593="","",CONCATENATE("https://us.pandora.net/on/demandware.static/-/Sites-pandora-master-catalog/default/dwbb259ca6/productimages/singlepackshot/",LEFT(A1593,FIND("-",A1593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4" spans="1:4" x14ac:dyDescent="0.25">
      <c r="A1594" s="3" t="s">
        <v>1596</v>
      </c>
      <c r="B1594" s="4">
        <v>49</v>
      </c>
      <c r="C1594" s="3" t="str">
        <f ca="1">IFERROR(ROWSDUMMYFUNCTION(IF(A1594="","",IFERROR(IMAGE(CONCATENATE("https://us.pandora.net/on/demandware.static/-/Sites-pandora-master-catalog/default/dwbb259ca6/productimages/singlepackshot/",LEFT(A1594,FIND("-",A1594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4" s="5" t="str">
        <f ca="1">IFERROR(ROWSDUMMYFUNCTION(IF(A1594="","",CONCATENATE("https://us.pandora.net/on/demandware.static/-/Sites-pandora-master-catalog/default/dwbb259ca6/productimages/singlepackshot/",LEFT(A1594,FIND("-",A1594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5" spans="1:4" x14ac:dyDescent="0.25">
      <c r="A1595" s="3" t="s">
        <v>1597</v>
      </c>
      <c r="B1595" s="4">
        <v>49</v>
      </c>
      <c r="C1595" s="3" t="str">
        <f ca="1">IFERROR(ROWSDUMMYFUNCTION(IF(A1595="","",IFERROR(IMAGE(CONCATENATE("https://us.pandora.net/on/demandware.static/-/Sites-pandora-master-catalog/default/dwbb259ca6/productimages/singlepackshot/",LEFT(A1595,FIND("-",A1595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5" s="5" t="str">
        <f ca="1">IFERROR(ROWSDUMMYFUNCTION(IF(A1595="","",CONCATENATE("https://us.pandora.net/on/demandware.static/-/Sites-pandora-master-catalog/default/dwbb259ca6/productimages/singlepackshot/",LEFT(A1595,FIND("-",A1595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6" spans="1:4" x14ac:dyDescent="0.25">
      <c r="A1596" s="3" t="s">
        <v>1598</v>
      </c>
      <c r="B1596" s="4">
        <v>49</v>
      </c>
      <c r="C1596" s="3" t="str">
        <f ca="1">IFERROR(ROWSDUMMYFUNCTION(IF(A1596="","",IFERROR(IMAGE(CONCATENATE("https://us.pandora.net/on/demandware.static/-/Sites-pandora-master-catalog/default/dwbb259ca6/productimages/singlepackshot/",LEFT(A1596,FIND("-",A1596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6" s="5" t="str">
        <f ca="1">IFERROR(ROWSDUMMYFUNCTION(IF(A1596="","",CONCATENATE("https://us.pandora.net/on/demandware.static/-/Sites-pandora-master-catalog/default/dwbb259ca6/productimages/singlepackshot/",LEFT(A1596,FIND("-",A1596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7" spans="1:4" x14ac:dyDescent="0.25">
      <c r="A1597" s="3" t="s">
        <v>1599</v>
      </c>
      <c r="B1597" s="4">
        <v>49</v>
      </c>
      <c r="C1597" s="3" t="str">
        <f ca="1">IFERROR(ROWSDUMMYFUNCTION(IF(A1597="","",IFERROR(IMAGE(CONCATENATE("https://us.pandora.net/on/demandware.static/-/Sites-pandora-master-catalog/default/dwbb259ca6/productimages/singlepackshot/",LEFT(A1597,FIND("-",A1597&amp;"-")-1),"_RGB.png")),""))),"{""url"":""https://us.pandora.net/on/demandware.static/-/Sites-pandora-master-catalog/default/dwbb259ca6/productimages/singlepackshot/194269C01_RGB.png"",""mode"":1}")</f>
        <v>{"url":"https://us.pandora.net/on/demandware.static/-/Sites-pandora-master-catalog/default/dwbb259ca6/productimages/singlepackshot/194269C01_RGB.png","mode":1}</v>
      </c>
      <c r="D1597" s="5" t="str">
        <f ca="1">IFERROR(ROWSDUMMYFUNCTION(IF(A1597="","",CONCATENATE("https://us.pandora.net/on/demandware.static/-/Sites-pandora-master-catalog/default/dwbb259ca6/productimages/singlepackshot/",LEFT(A1597,FIND("-",A1597&amp;"-")-1),"_RGB.png"))),"https://us.pandora.net/on/demandware.static/-/Sites-pandora-master-catalog/default/dwbb259ca6/productimages/singlepackshot/194269C01_RGB.png")</f>
        <v>https://us.pandora.net/on/demandware.static/-/Sites-pandora-master-catalog/default/dwbb259ca6/productimages/singlepackshot/194269C01_RGB.png</v>
      </c>
    </row>
    <row r="1598" spans="1:4" x14ac:dyDescent="0.25">
      <c r="A1598" s="3" t="s">
        <v>1600</v>
      </c>
      <c r="B1598" s="4">
        <v>49</v>
      </c>
      <c r="C1598" s="3" t="str">
        <f ca="1">IFERROR(ROWSDUMMYFUNCTION(IF(A1598="","",IFERROR(IMAGE(CONCATENATE("https://us.pandora.net/on/demandware.static/-/Sites-pandora-master-catalog/default/dwbb259ca6/productimages/singlepackshot/",LEFT(A1598,FIND("-",A1598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598" s="5" t="str">
        <f ca="1">IFERROR(ROWSDUMMYFUNCTION(IF(A1598="","",CONCATENATE("https://us.pandora.net/on/demandware.static/-/Sites-pandora-master-catalog/default/dwbb259ca6/productimages/singlepackshot/",LEFT(A1598,FIND("-",A1598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599" spans="1:4" x14ac:dyDescent="0.25">
      <c r="A1599" s="3" t="s">
        <v>1601</v>
      </c>
      <c r="B1599" s="4">
        <v>49</v>
      </c>
      <c r="C1599" s="3" t="str">
        <f ca="1">IFERROR(ROWSDUMMYFUNCTION(IF(A1599="","",IFERROR(IMAGE(CONCATENATE("https://us.pandora.net/on/demandware.static/-/Sites-pandora-master-catalog/default/dwbb259ca6/productimages/singlepackshot/",LEFT(A1599,FIND("-",A1599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599" s="5" t="str">
        <f ca="1">IFERROR(ROWSDUMMYFUNCTION(IF(A1599="","",CONCATENATE("https://us.pandora.net/on/demandware.static/-/Sites-pandora-master-catalog/default/dwbb259ca6/productimages/singlepackshot/",LEFT(A1599,FIND("-",A1599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600" spans="1:4" x14ac:dyDescent="0.25">
      <c r="A1600" s="3" t="s">
        <v>1602</v>
      </c>
      <c r="B1600" s="4">
        <v>49</v>
      </c>
      <c r="C1600" s="3" t="str">
        <f ca="1">IFERROR(ROWSDUMMYFUNCTION(IF(A1600="","",IFERROR(IMAGE(CONCATENATE("https://us.pandora.net/on/demandware.static/-/Sites-pandora-master-catalog/default/dwbb259ca6/productimages/singlepackshot/",LEFT(A1600,FIND("-",A1600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600" s="5" t="str">
        <f ca="1">IFERROR(ROWSDUMMYFUNCTION(IF(A1600="","",CONCATENATE("https://us.pandora.net/on/demandware.static/-/Sites-pandora-master-catalog/default/dwbb259ca6/productimages/singlepackshot/",LEFT(A1600,FIND("-",A1600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601" spans="1:4" x14ac:dyDescent="0.25">
      <c r="A1601" s="3" t="s">
        <v>1603</v>
      </c>
      <c r="B1601" s="4">
        <v>49</v>
      </c>
      <c r="C1601" s="3" t="str">
        <f ca="1">IFERROR(ROWSDUMMYFUNCTION(IF(A1601="","",IFERROR(IMAGE(CONCATENATE("https://us.pandora.net/on/demandware.static/-/Sites-pandora-master-catalog/default/dwbb259ca6/productimages/singlepackshot/",LEFT(A1601,FIND("-",A1601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601" s="5" t="str">
        <f ca="1">IFERROR(ROWSDUMMYFUNCTION(IF(A1601="","",CONCATENATE("https://us.pandora.net/on/demandware.static/-/Sites-pandora-master-catalog/default/dwbb259ca6/productimages/singlepackshot/",LEFT(A1601,FIND("-",A1601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602" spans="1:4" x14ac:dyDescent="0.25">
      <c r="A1602" s="3" t="s">
        <v>1604</v>
      </c>
      <c r="B1602" s="4">
        <v>49</v>
      </c>
      <c r="C1602" s="3" t="str">
        <f ca="1">IFERROR(ROWSDUMMYFUNCTION(IF(A1602="","",IFERROR(IMAGE(CONCATENATE("https://us.pandora.net/on/demandware.static/-/Sites-pandora-master-catalog/default/dwbb259ca6/productimages/singlepackshot/",LEFT(A1602,FIND("-",A1602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602" s="5" t="str">
        <f ca="1">IFERROR(ROWSDUMMYFUNCTION(IF(A1602="","",CONCATENATE("https://us.pandora.net/on/demandware.static/-/Sites-pandora-master-catalog/default/dwbb259ca6/productimages/singlepackshot/",LEFT(A1602,FIND("-",A1602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603" spans="1:4" x14ac:dyDescent="0.25">
      <c r="A1603" s="3" t="s">
        <v>1605</v>
      </c>
      <c r="B1603" s="4">
        <v>49</v>
      </c>
      <c r="C1603" s="3" t="str">
        <f ca="1">IFERROR(ROWSDUMMYFUNCTION(IF(A1603="","",IFERROR(IMAGE(CONCATENATE("https://us.pandora.net/on/demandware.static/-/Sites-pandora-master-catalog/default/dwbb259ca6/productimages/singlepackshot/",LEFT(A1603,FIND("-",A1603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603" s="5" t="str">
        <f ca="1">IFERROR(ROWSDUMMYFUNCTION(IF(A1603="","",CONCATENATE("https://us.pandora.net/on/demandware.static/-/Sites-pandora-master-catalog/default/dwbb259ca6/productimages/singlepackshot/",LEFT(A1603,FIND("-",A1603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604" spans="1:4" x14ac:dyDescent="0.25">
      <c r="A1604" s="3" t="s">
        <v>1606</v>
      </c>
      <c r="B1604" s="4">
        <v>49</v>
      </c>
      <c r="C1604" s="3" t="str">
        <f ca="1">IFERROR(ROWSDUMMYFUNCTION(IF(A1604="","",IFERROR(IMAGE(CONCATENATE("https://us.pandora.net/on/demandware.static/-/Sites-pandora-master-catalog/default/dwbb259ca6/productimages/singlepackshot/",LEFT(A1604,FIND("-",A1604&amp;"-")-1),"_RGB.png")),""))),"{""url"":""https://us.pandora.net/on/demandware.static/-/Sites-pandora-master-catalog/default/dwbb259ca6/productimages/singlepackshot/194269C02_RGB.png"",""mode"":1}")</f>
        <v>{"url":"https://us.pandora.net/on/demandware.static/-/Sites-pandora-master-catalog/default/dwbb259ca6/productimages/singlepackshot/194269C02_RGB.png","mode":1}</v>
      </c>
      <c r="D1604" s="5" t="str">
        <f ca="1">IFERROR(ROWSDUMMYFUNCTION(IF(A1604="","",CONCATENATE("https://us.pandora.net/on/demandware.static/-/Sites-pandora-master-catalog/default/dwbb259ca6/productimages/singlepackshot/",LEFT(A1604,FIND("-",A1604&amp;"-")-1),"_RGB.png"))),"https://us.pandora.net/on/demandware.static/-/Sites-pandora-master-catalog/default/dwbb259ca6/productimages/singlepackshot/194269C02_RGB.png")</f>
        <v>https://us.pandora.net/on/demandware.static/-/Sites-pandora-master-catalog/default/dwbb259ca6/productimages/singlepackshot/194269C02_RGB.png</v>
      </c>
    </row>
    <row r="1605" spans="1:4" x14ac:dyDescent="0.25">
      <c r="A1605" s="3" t="s">
        <v>1607</v>
      </c>
      <c r="B1605" s="4">
        <v>49</v>
      </c>
      <c r="C1605" s="3" t="str">
        <f ca="1">IFERROR(ROWSDUMMYFUNCTION(IF(A1605="","",IFERROR(IMAGE(CONCATENATE("https://us.pandora.net/on/demandware.static/-/Sites-pandora-master-catalog/default/dwbb259ca6/productimages/singlepackshot/",LEFT(A1605,FIND("-",A1605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05" s="5" t="str">
        <f ca="1">IFERROR(ROWSDUMMYFUNCTION(IF(A1605="","",CONCATENATE("https://us.pandora.net/on/demandware.static/-/Sites-pandora-master-catalog/default/dwbb259ca6/productimages/singlepackshot/",LEFT(A1605,FIND("-",A1605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06" spans="1:4" x14ac:dyDescent="0.25">
      <c r="A1606" s="3" t="s">
        <v>1608</v>
      </c>
      <c r="B1606" s="4">
        <v>49</v>
      </c>
      <c r="C1606" s="3" t="str">
        <f ca="1">IFERROR(ROWSDUMMYFUNCTION(IF(A1606="","",IFERROR(IMAGE(CONCATENATE("https://us.pandora.net/on/demandware.static/-/Sites-pandora-master-catalog/default/dwbb259ca6/productimages/singlepackshot/",LEFT(A1606,FIND("-",A1606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06" s="5" t="str">
        <f ca="1">IFERROR(ROWSDUMMYFUNCTION(IF(A1606="","",CONCATENATE("https://us.pandora.net/on/demandware.static/-/Sites-pandora-master-catalog/default/dwbb259ca6/productimages/singlepackshot/",LEFT(A1606,FIND("-",A1606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07" spans="1:4" x14ac:dyDescent="0.25">
      <c r="A1607" s="3" t="s">
        <v>1609</v>
      </c>
      <c r="B1607" s="4">
        <v>49</v>
      </c>
      <c r="C1607" s="3" t="str">
        <f ca="1">IFERROR(ROWSDUMMYFUNCTION(IF(A1607="","",IFERROR(IMAGE(CONCATENATE("https://us.pandora.net/on/demandware.static/-/Sites-pandora-master-catalog/default/dwbb259ca6/productimages/singlepackshot/",LEFT(A1607,FIND("-",A1607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07" s="5" t="str">
        <f ca="1">IFERROR(ROWSDUMMYFUNCTION(IF(A1607="","",CONCATENATE("https://us.pandora.net/on/demandware.static/-/Sites-pandora-master-catalog/default/dwbb259ca6/productimages/singlepackshot/",LEFT(A1607,FIND("-",A1607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08" spans="1:4" x14ac:dyDescent="0.25">
      <c r="A1608" s="3" t="s">
        <v>1610</v>
      </c>
      <c r="B1608" s="4">
        <v>49</v>
      </c>
      <c r="C1608" s="3" t="str">
        <f ca="1">IFERROR(ROWSDUMMYFUNCTION(IF(A1608="","",IFERROR(IMAGE(CONCATENATE("https://us.pandora.net/on/demandware.static/-/Sites-pandora-master-catalog/default/dwbb259ca6/productimages/singlepackshot/",LEFT(A1608,FIND("-",A1608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08" s="5" t="str">
        <f ca="1">IFERROR(ROWSDUMMYFUNCTION(IF(A1608="","",CONCATENATE("https://us.pandora.net/on/demandware.static/-/Sites-pandora-master-catalog/default/dwbb259ca6/productimages/singlepackshot/",LEFT(A1608,FIND("-",A1608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09" spans="1:4" x14ac:dyDescent="0.25">
      <c r="A1609" s="3" t="s">
        <v>1611</v>
      </c>
      <c r="B1609" s="4">
        <v>49</v>
      </c>
      <c r="C1609" s="3" t="str">
        <f ca="1">IFERROR(ROWSDUMMYFUNCTION(IF(A1609="","",IFERROR(IMAGE(CONCATENATE("https://us.pandora.net/on/demandware.static/-/Sites-pandora-master-catalog/default/dwbb259ca6/productimages/singlepackshot/",LEFT(A1609,FIND("-",A1609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09" s="5" t="str">
        <f ca="1">IFERROR(ROWSDUMMYFUNCTION(IF(A1609="","",CONCATENATE("https://us.pandora.net/on/demandware.static/-/Sites-pandora-master-catalog/default/dwbb259ca6/productimages/singlepackshot/",LEFT(A1609,FIND("-",A1609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10" spans="1:4" x14ac:dyDescent="0.25">
      <c r="A1610" s="3" t="s">
        <v>1612</v>
      </c>
      <c r="B1610" s="4">
        <v>49</v>
      </c>
      <c r="C1610" s="3" t="str">
        <f ca="1">IFERROR(ROWSDUMMYFUNCTION(IF(A1610="","",IFERROR(IMAGE(CONCATENATE("https://us.pandora.net/on/demandware.static/-/Sites-pandora-master-catalog/default/dwbb259ca6/productimages/singlepackshot/",LEFT(A1610,FIND("-",A1610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10" s="5" t="str">
        <f ca="1">IFERROR(ROWSDUMMYFUNCTION(IF(A1610="","",CONCATENATE("https://us.pandora.net/on/demandware.static/-/Sites-pandora-master-catalog/default/dwbb259ca6/productimages/singlepackshot/",LEFT(A1610,FIND("-",A1610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11" spans="1:4" x14ac:dyDescent="0.25">
      <c r="A1611" s="3" t="s">
        <v>1613</v>
      </c>
      <c r="B1611" s="4">
        <v>49</v>
      </c>
      <c r="C1611" s="3" t="str">
        <f ca="1">IFERROR(ROWSDUMMYFUNCTION(IF(A1611="","",IFERROR(IMAGE(CONCATENATE("https://us.pandora.net/on/demandware.static/-/Sites-pandora-master-catalog/default/dwbb259ca6/productimages/singlepackshot/",LEFT(A1611,FIND("-",A1611&amp;"-")-1),"_RGB.png")),""))),"{""url"":""https://us.pandora.net/on/demandware.static/-/Sites-pandora-master-catalog/default/dwbb259ca6/productimages/singlepackshot/194269C03_RGB.png"",""mode"":1}")</f>
        <v>{"url":"https://us.pandora.net/on/demandware.static/-/Sites-pandora-master-catalog/default/dwbb259ca6/productimages/singlepackshot/194269C03_RGB.png","mode":1}</v>
      </c>
      <c r="D1611" s="5" t="str">
        <f ca="1">IFERROR(ROWSDUMMYFUNCTION(IF(A1611="","",CONCATENATE("https://us.pandora.net/on/demandware.static/-/Sites-pandora-master-catalog/default/dwbb259ca6/productimages/singlepackshot/",LEFT(A1611,FIND("-",A1611&amp;"-")-1),"_RGB.png"))),"https://us.pandora.net/on/demandware.static/-/Sites-pandora-master-catalog/default/dwbb259ca6/productimages/singlepackshot/194269C03_RGB.png")</f>
        <v>https://us.pandora.net/on/demandware.static/-/Sites-pandora-master-catalog/default/dwbb259ca6/productimages/singlepackshot/194269C03_RGB.png</v>
      </c>
    </row>
    <row r="1612" spans="1:4" x14ac:dyDescent="0.25">
      <c r="A1612" s="3" t="s">
        <v>1614</v>
      </c>
      <c r="B1612" s="4">
        <v>99</v>
      </c>
      <c r="C1612" s="3" t="str">
        <f ca="1">IFERROR(ROWSDUMMYFUNCTION(IF(A1612="","",IFERROR(IMAGE(CONCATENATE("https://us.pandora.net/on/demandware.static/-/Sites-pandora-master-catalog/default/dwbb259ca6/productimages/singlepackshot/",LEFT(A1612,FIND("-",A1612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2" s="5" t="str">
        <f ca="1">IFERROR(ROWSDUMMYFUNCTION(IF(A1612="","",CONCATENATE("https://us.pandora.net/on/demandware.static/-/Sites-pandora-master-catalog/default/dwbb259ca6/productimages/singlepackshot/",LEFT(A1612,FIND("-",A1612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3" spans="1:4" x14ac:dyDescent="0.25">
      <c r="A1613" s="3" t="s">
        <v>1615</v>
      </c>
      <c r="B1613" s="4">
        <v>99</v>
      </c>
      <c r="C1613" s="3" t="str">
        <f ca="1">IFERROR(ROWSDUMMYFUNCTION(IF(A1613="","",IFERROR(IMAGE(CONCATENATE("https://us.pandora.net/on/demandware.static/-/Sites-pandora-master-catalog/default/dwbb259ca6/productimages/singlepackshot/",LEFT(A1613,FIND("-",A1613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3" s="5" t="str">
        <f ca="1">IFERROR(ROWSDUMMYFUNCTION(IF(A1613="","",CONCATENATE("https://us.pandora.net/on/demandware.static/-/Sites-pandora-master-catalog/default/dwbb259ca6/productimages/singlepackshot/",LEFT(A1613,FIND("-",A1613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4" spans="1:4" x14ac:dyDescent="0.25">
      <c r="A1614" s="3" t="s">
        <v>1616</v>
      </c>
      <c r="B1614" s="4">
        <v>99</v>
      </c>
      <c r="C1614" s="3" t="str">
        <f ca="1">IFERROR(ROWSDUMMYFUNCTION(IF(A1614="","",IFERROR(IMAGE(CONCATENATE("https://us.pandora.net/on/demandware.static/-/Sites-pandora-master-catalog/default/dwbb259ca6/productimages/singlepackshot/",LEFT(A1614,FIND("-",A1614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4" s="5" t="str">
        <f ca="1">IFERROR(ROWSDUMMYFUNCTION(IF(A1614="","",CONCATENATE("https://us.pandora.net/on/demandware.static/-/Sites-pandora-master-catalog/default/dwbb259ca6/productimages/singlepackshot/",LEFT(A1614,FIND("-",A1614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5" spans="1:4" x14ac:dyDescent="0.25">
      <c r="A1615" s="3" t="s">
        <v>1617</v>
      </c>
      <c r="B1615" s="4">
        <v>99</v>
      </c>
      <c r="C1615" s="3" t="str">
        <f ca="1">IFERROR(ROWSDUMMYFUNCTION(IF(A1615="","",IFERROR(IMAGE(CONCATENATE("https://us.pandora.net/on/demandware.static/-/Sites-pandora-master-catalog/default/dwbb259ca6/productimages/singlepackshot/",LEFT(A1615,FIND("-",A1615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5" s="5" t="str">
        <f ca="1">IFERROR(ROWSDUMMYFUNCTION(IF(A1615="","",CONCATENATE("https://us.pandora.net/on/demandware.static/-/Sites-pandora-master-catalog/default/dwbb259ca6/productimages/singlepackshot/",LEFT(A1615,FIND("-",A1615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6" spans="1:4" x14ac:dyDescent="0.25">
      <c r="A1616" s="3" t="s">
        <v>1618</v>
      </c>
      <c r="B1616" s="4">
        <v>99</v>
      </c>
      <c r="C1616" s="3" t="str">
        <f ca="1">IFERROR(ROWSDUMMYFUNCTION(IF(A1616="","",IFERROR(IMAGE(CONCATENATE("https://us.pandora.net/on/demandware.static/-/Sites-pandora-master-catalog/default/dwbb259ca6/productimages/singlepackshot/",LEFT(A1616,FIND("-",A1616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6" s="5" t="str">
        <f ca="1">IFERROR(ROWSDUMMYFUNCTION(IF(A1616="","",CONCATENATE("https://us.pandora.net/on/demandware.static/-/Sites-pandora-master-catalog/default/dwbb259ca6/productimages/singlepackshot/",LEFT(A1616,FIND("-",A1616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7" spans="1:4" x14ac:dyDescent="0.25">
      <c r="A1617" s="3" t="s">
        <v>1619</v>
      </c>
      <c r="B1617" s="4">
        <v>99</v>
      </c>
      <c r="C1617" s="3" t="str">
        <f ca="1">IFERROR(ROWSDUMMYFUNCTION(IF(A1617="","",IFERROR(IMAGE(CONCATENATE("https://us.pandora.net/on/demandware.static/-/Sites-pandora-master-catalog/default/dwbb259ca6/productimages/singlepackshot/",LEFT(A1617,FIND("-",A1617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7" s="5" t="str">
        <f ca="1">IFERROR(ROWSDUMMYFUNCTION(IF(A1617="","",CONCATENATE("https://us.pandora.net/on/demandware.static/-/Sites-pandora-master-catalog/default/dwbb259ca6/productimages/singlepackshot/",LEFT(A1617,FIND("-",A1617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8" spans="1:4" x14ac:dyDescent="0.25">
      <c r="A1618" s="3" t="s">
        <v>1620</v>
      </c>
      <c r="B1618" s="4">
        <v>99</v>
      </c>
      <c r="C1618" s="3" t="str">
        <f ca="1">IFERROR(ROWSDUMMYFUNCTION(IF(A1618="","",IFERROR(IMAGE(CONCATENATE("https://us.pandora.net/on/demandware.static/-/Sites-pandora-master-catalog/default/dwbb259ca6/productimages/singlepackshot/",LEFT(A1618,FIND("-",A1618&amp;"-")-1),"_RGB.png")),""))),"{""url"":""https://us.pandora.net/on/demandware.static/-/Sites-pandora-master-catalog/default/dwbb259ca6/productimages/singlepackshot/194270C01_RGB.png"",""mode"":1}")</f>
        <v>{"url":"https://us.pandora.net/on/demandware.static/-/Sites-pandora-master-catalog/default/dwbb259ca6/productimages/singlepackshot/194270C01_RGB.png","mode":1}</v>
      </c>
      <c r="D1618" s="5" t="str">
        <f ca="1">IFERROR(ROWSDUMMYFUNCTION(IF(A1618="","",CONCATENATE("https://us.pandora.net/on/demandware.static/-/Sites-pandora-master-catalog/default/dwbb259ca6/productimages/singlepackshot/",LEFT(A1618,FIND("-",A1618&amp;"-")-1),"_RGB.png"))),"https://us.pandora.net/on/demandware.static/-/Sites-pandora-master-catalog/default/dwbb259ca6/productimages/singlepackshot/194270C01_RGB.png")</f>
        <v>https://us.pandora.net/on/demandware.static/-/Sites-pandora-master-catalog/default/dwbb259ca6/productimages/singlepackshot/194270C01_RGB.png</v>
      </c>
    </row>
    <row r="1619" spans="1:4" x14ac:dyDescent="0.25">
      <c r="A1619" s="3" t="s">
        <v>1621</v>
      </c>
      <c r="B1619" s="4">
        <v>69</v>
      </c>
      <c r="C1619" s="3" t="str">
        <f ca="1">IFERROR(ROWSDUMMYFUNCTION(IF(A1619="","",IFERROR(IMAGE(CONCATENATE("https://us.pandora.net/on/demandware.static/-/Sites-pandora-master-catalog/default/dwbb259ca6/productimages/singlepackshot/",LEFT(A1619,FIND("-",A1619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19" s="5" t="str">
        <f ca="1">IFERROR(ROWSDUMMYFUNCTION(IF(A1619="","",CONCATENATE("https://us.pandora.net/on/demandware.static/-/Sites-pandora-master-catalog/default/dwbb259ca6/productimages/singlepackshot/",LEFT(A1619,FIND("-",A1619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0" spans="1:4" x14ac:dyDescent="0.25">
      <c r="A1620" s="3" t="s">
        <v>1622</v>
      </c>
      <c r="B1620" s="4">
        <v>69</v>
      </c>
      <c r="C1620" s="3" t="str">
        <f ca="1">IFERROR(ROWSDUMMYFUNCTION(IF(A1620="","",IFERROR(IMAGE(CONCATENATE("https://us.pandora.net/on/demandware.static/-/Sites-pandora-master-catalog/default/dwbb259ca6/productimages/singlepackshot/",LEFT(A1620,FIND("-",A1620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20" s="5" t="str">
        <f ca="1">IFERROR(ROWSDUMMYFUNCTION(IF(A1620="","",CONCATENATE("https://us.pandora.net/on/demandware.static/-/Sites-pandora-master-catalog/default/dwbb259ca6/productimages/singlepackshot/",LEFT(A1620,FIND("-",A1620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1" spans="1:4" x14ac:dyDescent="0.25">
      <c r="A1621" s="3" t="s">
        <v>1623</v>
      </c>
      <c r="B1621" s="4">
        <v>69</v>
      </c>
      <c r="C1621" s="3" t="str">
        <f ca="1">IFERROR(ROWSDUMMYFUNCTION(IF(A1621="","",IFERROR(IMAGE(CONCATENATE("https://us.pandora.net/on/demandware.static/-/Sites-pandora-master-catalog/default/dwbb259ca6/productimages/singlepackshot/",LEFT(A1621,FIND("-",A1621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21" s="5" t="str">
        <f ca="1">IFERROR(ROWSDUMMYFUNCTION(IF(A1621="","",CONCATENATE("https://us.pandora.net/on/demandware.static/-/Sites-pandora-master-catalog/default/dwbb259ca6/productimages/singlepackshot/",LEFT(A1621,FIND("-",A1621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2" spans="1:4" x14ac:dyDescent="0.25">
      <c r="A1622" s="3" t="s">
        <v>1624</v>
      </c>
      <c r="B1622" s="4">
        <v>69</v>
      </c>
      <c r="C1622" s="3" t="str">
        <f ca="1">IFERROR(ROWSDUMMYFUNCTION(IF(A1622="","",IFERROR(IMAGE(CONCATENATE("https://us.pandora.net/on/demandware.static/-/Sites-pandora-master-catalog/default/dwbb259ca6/productimages/singlepackshot/",LEFT(A1622,FIND("-",A1622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22" s="5" t="str">
        <f ca="1">IFERROR(ROWSDUMMYFUNCTION(IF(A1622="","",CONCATENATE("https://us.pandora.net/on/demandware.static/-/Sites-pandora-master-catalog/default/dwbb259ca6/productimages/singlepackshot/",LEFT(A1622,FIND("-",A1622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3" spans="1:4" x14ac:dyDescent="0.25">
      <c r="A1623" s="3" t="s">
        <v>1625</v>
      </c>
      <c r="B1623" s="4">
        <v>69</v>
      </c>
      <c r="C1623" s="3" t="str">
        <f ca="1">IFERROR(ROWSDUMMYFUNCTION(IF(A1623="","",IFERROR(IMAGE(CONCATENATE("https://us.pandora.net/on/demandware.static/-/Sites-pandora-master-catalog/default/dwbb259ca6/productimages/singlepackshot/",LEFT(A1623,FIND("-",A1623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23" s="5" t="str">
        <f ca="1">IFERROR(ROWSDUMMYFUNCTION(IF(A1623="","",CONCATENATE("https://us.pandora.net/on/demandware.static/-/Sites-pandora-master-catalog/default/dwbb259ca6/productimages/singlepackshot/",LEFT(A1623,FIND("-",A1623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4" spans="1:4" x14ac:dyDescent="0.25">
      <c r="A1624" s="3" t="s">
        <v>1626</v>
      </c>
      <c r="B1624" s="4">
        <v>69</v>
      </c>
      <c r="C1624" s="3" t="str">
        <f ca="1">IFERROR(ROWSDUMMYFUNCTION(IF(A1624="","",IFERROR(IMAGE(CONCATENATE("https://us.pandora.net/on/demandware.static/-/Sites-pandora-master-catalog/default/dwbb259ca6/productimages/singlepackshot/",LEFT(A1624,FIND("-",A1624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24" s="5" t="str">
        <f ca="1">IFERROR(ROWSDUMMYFUNCTION(IF(A1624="","",CONCATENATE("https://us.pandora.net/on/demandware.static/-/Sites-pandora-master-catalog/default/dwbb259ca6/productimages/singlepackshot/",LEFT(A1624,FIND("-",A1624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5" spans="1:4" x14ac:dyDescent="0.25">
      <c r="A1625" s="3" t="s">
        <v>1627</v>
      </c>
      <c r="B1625" s="4">
        <v>69</v>
      </c>
      <c r="C1625" s="3" t="str">
        <f ca="1">IFERROR(ROWSDUMMYFUNCTION(IF(A1625="","",IFERROR(IMAGE(CONCATENATE("https://us.pandora.net/on/demandware.static/-/Sites-pandora-master-catalog/default/dwbb259ca6/productimages/singlepackshot/",LEFT(A1625,FIND("-",A1625&amp;"-")-1),"_RGB.png")),""))),"{""url"":""https://us.pandora.net/on/demandware.static/-/Sites-pandora-master-catalog/default/dwbb259ca6/productimages/singlepackshot/196242CZ_RGB.png"",""mode"":1}")</f>
        <v>{"url":"https://us.pandora.net/on/demandware.static/-/Sites-pandora-master-catalog/default/dwbb259ca6/productimages/singlepackshot/196242CZ_RGB.png","mode":1}</v>
      </c>
      <c r="D1625" s="5" t="str">
        <f ca="1">IFERROR(ROWSDUMMYFUNCTION(IF(A1625="","",CONCATENATE("https://us.pandora.net/on/demandware.static/-/Sites-pandora-master-catalog/default/dwbb259ca6/productimages/singlepackshot/",LEFT(A1625,FIND("-",A1625&amp;"-")-1),"_RGB.png"))),"https://us.pandora.net/on/demandware.static/-/Sites-pandora-master-catalog/default/dwbb259ca6/productimages/singlepackshot/196242CZ_RGB.png")</f>
        <v>https://us.pandora.net/on/demandware.static/-/Sites-pandora-master-catalog/default/dwbb259ca6/productimages/singlepackshot/196242CZ_RGB.png</v>
      </c>
    </row>
    <row r="1626" spans="1:4" x14ac:dyDescent="0.25">
      <c r="A1626" s="3" t="s">
        <v>1628</v>
      </c>
      <c r="B1626" s="4">
        <v>79</v>
      </c>
      <c r="C1626" s="3" t="str">
        <f ca="1">IFERROR(ROWSDUMMYFUNCTION(IF(A1626="","",IFERROR(IMAGE(CONCATENATE("https://us.pandora.net/on/demandware.static/-/Sites-pandora-master-catalog/default/dwbb259ca6/productimages/singlepackshot/",LEFT(A1626,FIND("-",A1626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26" s="5" t="str">
        <f ca="1">IFERROR(ROWSDUMMYFUNCTION(IF(A1626="","",CONCATENATE("https://us.pandora.net/on/demandware.static/-/Sites-pandora-master-catalog/default/dwbb259ca6/productimages/singlepackshot/",LEFT(A1626,FIND("-",A1626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27" spans="1:4" x14ac:dyDescent="0.25">
      <c r="A1627" s="3" t="s">
        <v>1629</v>
      </c>
      <c r="B1627" s="4">
        <v>79</v>
      </c>
      <c r="C1627" s="3" t="str">
        <f ca="1">IFERROR(ROWSDUMMYFUNCTION(IF(A1627="","",IFERROR(IMAGE(CONCATENATE("https://us.pandora.net/on/demandware.static/-/Sites-pandora-master-catalog/default/dwbb259ca6/productimages/singlepackshot/",LEFT(A1627,FIND("-",A1627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27" s="5" t="str">
        <f ca="1">IFERROR(ROWSDUMMYFUNCTION(IF(A1627="","",CONCATENATE("https://us.pandora.net/on/demandware.static/-/Sites-pandora-master-catalog/default/dwbb259ca6/productimages/singlepackshot/",LEFT(A1627,FIND("-",A1627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28" spans="1:4" x14ac:dyDescent="0.25">
      <c r="A1628" s="3" t="s">
        <v>1630</v>
      </c>
      <c r="B1628" s="4">
        <v>79</v>
      </c>
      <c r="C1628" s="3" t="str">
        <f ca="1">IFERROR(ROWSDUMMYFUNCTION(IF(A1628="","",IFERROR(IMAGE(CONCATENATE("https://us.pandora.net/on/demandware.static/-/Sites-pandora-master-catalog/default/dwbb259ca6/productimages/singlepackshot/",LEFT(A1628,FIND("-",A1628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28" s="5" t="str">
        <f ca="1">IFERROR(ROWSDUMMYFUNCTION(IF(A1628="","",CONCATENATE("https://us.pandora.net/on/demandware.static/-/Sites-pandora-master-catalog/default/dwbb259ca6/productimages/singlepackshot/",LEFT(A1628,FIND("-",A1628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29" spans="1:4" x14ac:dyDescent="0.25">
      <c r="A1629" s="3" t="s">
        <v>1631</v>
      </c>
      <c r="B1629" s="4">
        <v>79</v>
      </c>
      <c r="C1629" s="3" t="str">
        <f ca="1">IFERROR(ROWSDUMMYFUNCTION(IF(A1629="","",IFERROR(IMAGE(CONCATENATE("https://us.pandora.net/on/demandware.static/-/Sites-pandora-master-catalog/default/dwbb259ca6/productimages/singlepackshot/",LEFT(A1629,FIND("-",A1629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29" s="5" t="str">
        <f ca="1">IFERROR(ROWSDUMMYFUNCTION(IF(A1629="","",CONCATENATE("https://us.pandora.net/on/demandware.static/-/Sites-pandora-master-catalog/default/dwbb259ca6/productimages/singlepackshot/",LEFT(A1629,FIND("-",A1629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30" spans="1:4" x14ac:dyDescent="0.25">
      <c r="A1630" s="3" t="s">
        <v>1632</v>
      </c>
      <c r="B1630" s="4">
        <v>79</v>
      </c>
      <c r="C1630" s="3" t="str">
        <f ca="1">IFERROR(ROWSDUMMYFUNCTION(IF(A1630="","",IFERROR(IMAGE(CONCATENATE("https://us.pandora.net/on/demandware.static/-/Sites-pandora-master-catalog/default/dwbb259ca6/productimages/singlepackshot/",LEFT(A1630,FIND("-",A1630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30" s="5" t="str">
        <f ca="1">IFERROR(ROWSDUMMYFUNCTION(IF(A1630="","",CONCATENATE("https://us.pandora.net/on/demandware.static/-/Sites-pandora-master-catalog/default/dwbb259ca6/productimages/singlepackshot/",LEFT(A1630,FIND("-",A1630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31" spans="1:4" x14ac:dyDescent="0.25">
      <c r="A1631" s="3" t="s">
        <v>1633</v>
      </c>
      <c r="B1631" s="4">
        <v>79</v>
      </c>
      <c r="C1631" s="3" t="str">
        <f ca="1">IFERROR(ROWSDUMMYFUNCTION(IF(A1631="","",IFERROR(IMAGE(CONCATENATE("https://us.pandora.net/on/demandware.static/-/Sites-pandora-master-catalog/default/dwbb259ca6/productimages/singlepackshot/",LEFT(A1631,FIND("-",A1631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31" s="5" t="str">
        <f ca="1">IFERROR(ROWSDUMMYFUNCTION(IF(A1631="","",CONCATENATE("https://us.pandora.net/on/demandware.static/-/Sites-pandora-master-catalog/default/dwbb259ca6/productimages/singlepackshot/",LEFT(A1631,FIND("-",A1631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32" spans="1:4" x14ac:dyDescent="0.25">
      <c r="A1632" s="3" t="s">
        <v>1634</v>
      </c>
      <c r="B1632" s="4">
        <v>79</v>
      </c>
      <c r="C1632" s="3" t="str">
        <f ca="1">IFERROR(ROWSDUMMYFUNCTION(IF(A1632="","",IFERROR(IMAGE(CONCATENATE("https://us.pandora.net/on/demandware.static/-/Sites-pandora-master-catalog/default/dwbb259ca6/productimages/singlepackshot/",LEFT(A1632,FIND("-",A1632&amp;"-")-1),"_RGB.png")),""))),"{""url"":""https://us.pandora.net/on/demandware.static/-/Sites-pandora-master-catalog/default/dwbb259ca6/productimages/singlepackshot/196250CZ_RGB.png"",""mode"":1}")</f>
        <v>{"url":"https://us.pandora.net/on/demandware.static/-/Sites-pandora-master-catalog/default/dwbb259ca6/productimages/singlepackshot/196250CZ_RGB.png","mode":1}</v>
      </c>
      <c r="D1632" s="5" t="str">
        <f ca="1">IFERROR(ROWSDUMMYFUNCTION(IF(A1632="","",CONCATENATE("https://us.pandora.net/on/demandware.static/-/Sites-pandora-master-catalog/default/dwbb259ca6/productimages/singlepackshot/",LEFT(A1632,FIND("-",A1632&amp;"-")-1),"_RGB.png"))),"https://us.pandora.net/on/demandware.static/-/Sites-pandora-master-catalog/default/dwbb259ca6/productimages/singlepackshot/196250CZ_RGB.png")</f>
        <v>https://us.pandora.net/on/demandware.static/-/Sites-pandora-master-catalog/default/dwbb259ca6/productimages/singlepackshot/196250CZ_RGB.png</v>
      </c>
    </row>
    <row r="1633" spans="1:4" x14ac:dyDescent="0.25">
      <c r="A1633" s="3" t="s">
        <v>1635</v>
      </c>
      <c r="B1633" s="4">
        <v>29</v>
      </c>
      <c r="C1633" s="3" t="str">
        <f ca="1">IFERROR(ROWSDUMMYFUNCTION(IF(A1633="","",IFERROR(IMAGE(CONCATENATE("https://us.pandora.net/on/demandware.static/-/Sites-pandora-master-catalog/default/dwbb259ca6/productimages/singlepackshot/",LEFT(A1633,FIND("-",A1633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3" s="5" t="str">
        <f ca="1">IFERROR(ROWSDUMMYFUNCTION(IF(A1633="","",CONCATENATE("https://us.pandora.net/on/demandware.static/-/Sites-pandora-master-catalog/default/dwbb259ca6/productimages/singlepackshot/",LEFT(A1633,FIND("-",A1633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34" spans="1:4" x14ac:dyDescent="0.25">
      <c r="A1634" s="3" t="s">
        <v>1636</v>
      </c>
      <c r="B1634" s="4">
        <v>29</v>
      </c>
      <c r="C1634" s="3" t="str">
        <f ca="1">IFERROR(ROWSDUMMYFUNCTION(IF(A1634="","",IFERROR(IMAGE(CONCATENATE("https://us.pandora.net/on/demandware.static/-/Sites-pandora-master-catalog/default/dwbb259ca6/productimages/singlepackshot/",LEFT(A1634,FIND("-",A1634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4" s="5" t="str">
        <f ca="1">IFERROR(ROWSDUMMYFUNCTION(IF(A1634="","",CONCATENATE("https://us.pandora.net/on/demandware.static/-/Sites-pandora-master-catalog/default/dwbb259ca6/productimages/singlepackshot/",LEFT(A1634,FIND("-",A1634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35" spans="1:4" x14ac:dyDescent="0.25">
      <c r="A1635" s="3" t="s">
        <v>1637</v>
      </c>
      <c r="B1635" s="4">
        <v>29</v>
      </c>
      <c r="C1635" s="3" t="str">
        <f ca="1">IFERROR(ROWSDUMMYFUNCTION(IF(A1635="","",IFERROR(IMAGE(CONCATENATE("https://us.pandora.net/on/demandware.static/-/Sites-pandora-master-catalog/default/dwbb259ca6/productimages/singlepackshot/",LEFT(A1635,FIND("-",A1635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5" s="5" t="str">
        <f ca="1">IFERROR(ROWSDUMMYFUNCTION(IF(A1635="","",CONCATENATE("https://us.pandora.net/on/demandware.static/-/Sites-pandora-master-catalog/default/dwbb259ca6/productimages/singlepackshot/",LEFT(A1635,FIND("-",A1635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36" spans="1:4" x14ac:dyDescent="0.25">
      <c r="A1636" s="3" t="s">
        <v>1638</v>
      </c>
      <c r="B1636" s="4">
        <v>29</v>
      </c>
      <c r="C1636" s="3" t="str">
        <f ca="1">IFERROR(ROWSDUMMYFUNCTION(IF(A1636="","",IFERROR(IMAGE(CONCATENATE("https://us.pandora.net/on/demandware.static/-/Sites-pandora-master-catalog/default/dwbb259ca6/productimages/singlepackshot/",LEFT(A1636,FIND("-",A1636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6" s="5" t="str">
        <f ca="1">IFERROR(ROWSDUMMYFUNCTION(IF(A1636="","",CONCATENATE("https://us.pandora.net/on/demandware.static/-/Sites-pandora-master-catalog/default/dwbb259ca6/productimages/singlepackshot/",LEFT(A1636,FIND("-",A1636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37" spans="1:4" x14ac:dyDescent="0.25">
      <c r="A1637" s="3" t="s">
        <v>1639</v>
      </c>
      <c r="B1637" s="4">
        <v>29</v>
      </c>
      <c r="C1637" s="3" t="str">
        <f ca="1">IFERROR(ROWSDUMMYFUNCTION(IF(A1637="","",IFERROR(IMAGE(CONCATENATE("https://us.pandora.net/on/demandware.static/-/Sites-pandora-master-catalog/default/dwbb259ca6/productimages/singlepackshot/",LEFT(A1637,FIND("-",A1637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7" s="5" t="str">
        <f ca="1">IFERROR(ROWSDUMMYFUNCTION(IF(A1637="","",CONCATENATE("https://us.pandora.net/on/demandware.static/-/Sites-pandora-master-catalog/default/dwbb259ca6/productimages/singlepackshot/",LEFT(A1637,FIND("-",A1637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38" spans="1:4" x14ac:dyDescent="0.25">
      <c r="A1638" s="3" t="s">
        <v>1640</v>
      </c>
      <c r="B1638" s="4">
        <v>29</v>
      </c>
      <c r="C1638" s="3" t="str">
        <f ca="1">IFERROR(ROWSDUMMYFUNCTION(IF(A1638="","",IFERROR(IMAGE(CONCATENATE("https://us.pandora.net/on/demandware.static/-/Sites-pandora-master-catalog/default/dwbb259ca6/productimages/singlepackshot/",LEFT(A1638,FIND("-",A1638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8" s="5" t="str">
        <f ca="1">IFERROR(ROWSDUMMYFUNCTION(IF(A1638="","",CONCATENATE("https://us.pandora.net/on/demandware.static/-/Sites-pandora-master-catalog/default/dwbb259ca6/productimages/singlepackshot/",LEFT(A1638,FIND("-",A1638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39" spans="1:4" x14ac:dyDescent="0.25">
      <c r="A1639" s="3" t="s">
        <v>1641</v>
      </c>
      <c r="B1639" s="4">
        <v>29</v>
      </c>
      <c r="C1639" s="3" t="str">
        <f ca="1">IFERROR(ROWSDUMMYFUNCTION(IF(A1639="","",IFERROR(IMAGE(CONCATENATE("https://us.pandora.net/on/demandware.static/-/Sites-pandora-master-catalog/default/dwbb259ca6/productimages/singlepackshot/",LEFT(A1639,FIND("-",A1639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39" s="5" t="str">
        <f ca="1">IFERROR(ROWSDUMMYFUNCTION(IF(A1639="","",CONCATENATE("https://us.pandora.net/on/demandware.static/-/Sites-pandora-master-catalog/default/dwbb259ca6/productimages/singlepackshot/",LEFT(A1639,FIND("-",A1639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40" spans="1:4" x14ac:dyDescent="0.25">
      <c r="A1640" s="3" t="s">
        <v>1642</v>
      </c>
      <c r="B1640" s="4">
        <v>29</v>
      </c>
      <c r="C1640" s="3" t="str">
        <f ca="1">IFERROR(ROWSDUMMYFUNCTION(IF(A1640="","",IFERROR(IMAGE(CONCATENATE("https://us.pandora.net/on/demandware.static/-/Sites-pandora-master-catalog/default/dwbb259ca6/productimages/singlepackshot/",LEFT(A1640,FIND("-",A1640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40" s="5" t="str">
        <f ca="1">IFERROR(ROWSDUMMYFUNCTION(IF(A1640="","",CONCATENATE("https://us.pandora.net/on/demandware.static/-/Sites-pandora-master-catalog/default/dwbb259ca6/productimages/singlepackshot/",LEFT(A1640,FIND("-",A1640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41" spans="1:4" x14ac:dyDescent="0.25">
      <c r="A1641" s="3" t="s">
        <v>1643</v>
      </c>
      <c r="B1641" s="4">
        <v>29</v>
      </c>
      <c r="C1641" s="3" t="str">
        <f ca="1">IFERROR(ROWSDUMMYFUNCTION(IF(A1641="","",IFERROR(IMAGE(CONCATENATE("https://us.pandora.net/on/demandware.static/-/Sites-pandora-master-catalog/default/dwbb259ca6/productimages/singlepackshot/",LEFT(A1641,FIND("-",A1641&amp;"-")-1),"_RGB.png")),""))),"{""url"":""https://us.pandora.net/on/demandware.static/-/Sites-pandora-master-catalog/default/dwbb259ca6/productimages/singlepackshot/196314_RGB.png"",""mode"":1}")</f>
        <v>{"url":"https://us.pandora.net/on/demandware.static/-/Sites-pandora-master-catalog/default/dwbb259ca6/productimages/singlepackshot/196314_RGB.png","mode":1}</v>
      </c>
      <c r="D1641" s="5" t="str">
        <f ca="1">IFERROR(ROWSDUMMYFUNCTION(IF(A1641="","",CONCATENATE("https://us.pandora.net/on/demandware.static/-/Sites-pandora-master-catalog/default/dwbb259ca6/productimages/singlepackshot/",LEFT(A1641,FIND("-",A1641&amp;"-")-1),"_RGB.png"))),"https://us.pandora.net/on/demandware.static/-/Sites-pandora-master-catalog/default/dwbb259ca6/productimages/singlepackshot/196314_RGB.png")</f>
        <v>https://us.pandora.net/on/demandware.static/-/Sites-pandora-master-catalog/default/dwbb259ca6/productimages/singlepackshot/196314_RGB.png</v>
      </c>
    </row>
    <row r="1642" spans="1:4" x14ac:dyDescent="0.25">
      <c r="A1642" s="3" t="s">
        <v>1644</v>
      </c>
      <c r="B1642" s="4">
        <v>39</v>
      </c>
      <c r="C1642" s="3" t="str">
        <f ca="1">IFERROR(ROWSDUMMYFUNCTION(IF(A1642="","",IFERROR(IMAGE(CONCATENATE("https://us.pandora.net/on/demandware.static/-/Sites-pandora-master-catalog/default/dwbb259ca6/productimages/singlepackshot/",LEFT(A1642,FIND("-",A1642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2" s="5" t="str">
        <f ca="1">IFERROR(ROWSDUMMYFUNCTION(IF(A1642="","",CONCATENATE("https://us.pandora.net/on/demandware.static/-/Sites-pandora-master-catalog/default/dwbb259ca6/productimages/singlepackshot/",LEFT(A1642,FIND("-",A1642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3" spans="1:4" x14ac:dyDescent="0.25">
      <c r="A1643" s="3" t="s">
        <v>1645</v>
      </c>
      <c r="B1643" s="4">
        <v>39</v>
      </c>
      <c r="C1643" s="3" t="str">
        <f ca="1">IFERROR(ROWSDUMMYFUNCTION(IF(A1643="","",IFERROR(IMAGE(CONCATENATE("https://us.pandora.net/on/demandware.static/-/Sites-pandora-master-catalog/default/dwbb259ca6/productimages/singlepackshot/",LEFT(A1643,FIND("-",A1643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3" s="5" t="str">
        <f ca="1">IFERROR(ROWSDUMMYFUNCTION(IF(A1643="","",CONCATENATE("https://us.pandora.net/on/demandware.static/-/Sites-pandora-master-catalog/default/dwbb259ca6/productimages/singlepackshot/",LEFT(A1643,FIND("-",A1643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4" spans="1:4" x14ac:dyDescent="0.25">
      <c r="A1644" s="3" t="s">
        <v>1646</v>
      </c>
      <c r="B1644" s="4">
        <v>39</v>
      </c>
      <c r="C1644" s="3" t="str">
        <f ca="1">IFERROR(ROWSDUMMYFUNCTION(IF(A1644="","",IFERROR(IMAGE(CONCATENATE("https://us.pandora.net/on/demandware.static/-/Sites-pandora-master-catalog/default/dwbb259ca6/productimages/singlepackshot/",LEFT(A1644,FIND("-",A1644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4" s="5" t="str">
        <f ca="1">IFERROR(ROWSDUMMYFUNCTION(IF(A1644="","",CONCATENATE("https://us.pandora.net/on/demandware.static/-/Sites-pandora-master-catalog/default/dwbb259ca6/productimages/singlepackshot/",LEFT(A1644,FIND("-",A1644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5" spans="1:4" x14ac:dyDescent="0.25">
      <c r="A1645" s="3" t="s">
        <v>1647</v>
      </c>
      <c r="B1645" s="4">
        <v>39</v>
      </c>
      <c r="C1645" s="3" t="str">
        <f ca="1">IFERROR(ROWSDUMMYFUNCTION(IF(A1645="","",IFERROR(IMAGE(CONCATENATE("https://us.pandora.net/on/demandware.static/-/Sites-pandora-master-catalog/default/dwbb259ca6/productimages/singlepackshot/",LEFT(A1645,FIND("-",A1645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5" s="5" t="str">
        <f ca="1">IFERROR(ROWSDUMMYFUNCTION(IF(A1645="","",CONCATENATE("https://us.pandora.net/on/demandware.static/-/Sites-pandora-master-catalog/default/dwbb259ca6/productimages/singlepackshot/",LEFT(A1645,FIND("-",A1645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6" spans="1:4" x14ac:dyDescent="0.25">
      <c r="A1646" s="3" t="s">
        <v>1648</v>
      </c>
      <c r="B1646" s="4">
        <v>39</v>
      </c>
      <c r="C1646" s="3" t="str">
        <f ca="1">IFERROR(ROWSDUMMYFUNCTION(IF(A1646="","",IFERROR(IMAGE(CONCATENATE("https://us.pandora.net/on/demandware.static/-/Sites-pandora-master-catalog/default/dwbb259ca6/productimages/singlepackshot/",LEFT(A1646,FIND("-",A1646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6" s="5" t="str">
        <f ca="1">IFERROR(ROWSDUMMYFUNCTION(IF(A1646="","",CONCATENATE("https://us.pandora.net/on/demandware.static/-/Sites-pandora-master-catalog/default/dwbb259ca6/productimages/singlepackshot/",LEFT(A1646,FIND("-",A1646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7" spans="1:4" x14ac:dyDescent="0.25">
      <c r="A1647" s="3" t="s">
        <v>1649</v>
      </c>
      <c r="B1647" s="4">
        <v>39</v>
      </c>
      <c r="C1647" s="3" t="str">
        <f ca="1">IFERROR(ROWSDUMMYFUNCTION(IF(A1647="","",IFERROR(IMAGE(CONCATENATE("https://us.pandora.net/on/demandware.static/-/Sites-pandora-master-catalog/default/dwbb259ca6/productimages/singlepackshot/",LEFT(A1647,FIND("-",A1647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7" s="5" t="str">
        <f ca="1">IFERROR(ROWSDUMMYFUNCTION(IF(A1647="","",CONCATENATE("https://us.pandora.net/on/demandware.static/-/Sites-pandora-master-catalog/default/dwbb259ca6/productimages/singlepackshot/",LEFT(A1647,FIND("-",A1647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8" spans="1:4" x14ac:dyDescent="0.25">
      <c r="A1648" s="3" t="s">
        <v>1650</v>
      </c>
      <c r="B1648" s="4">
        <v>39</v>
      </c>
      <c r="C1648" s="3" t="str">
        <f ca="1">IFERROR(ROWSDUMMYFUNCTION(IF(A1648="","",IFERROR(IMAGE(CONCATENATE("https://us.pandora.net/on/demandware.static/-/Sites-pandora-master-catalog/default/dwbb259ca6/productimages/singlepackshot/",LEFT(A1648,FIND("-",A1648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8" s="5" t="str">
        <f ca="1">IFERROR(ROWSDUMMYFUNCTION(IF(A1648="","",CONCATENATE("https://us.pandora.net/on/demandware.static/-/Sites-pandora-master-catalog/default/dwbb259ca6/productimages/singlepackshot/",LEFT(A1648,FIND("-",A1648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49" spans="1:4" x14ac:dyDescent="0.25">
      <c r="A1649" s="3" t="s">
        <v>1651</v>
      </c>
      <c r="B1649" s="4">
        <v>39</v>
      </c>
      <c r="C1649" s="3" t="str">
        <f ca="1">IFERROR(ROWSDUMMYFUNCTION(IF(A1649="","",IFERROR(IMAGE(CONCATENATE("https://us.pandora.net/on/demandware.static/-/Sites-pandora-master-catalog/default/dwbb259ca6/productimages/singlepackshot/",LEFT(A1649,FIND("-",A1649&amp;"-")-1),"_RGB.png")),""))),"{""url"":""https://us.pandora.net/on/demandware.static/-/Sites-pandora-master-catalog/default/dwbb259ca6/productimages/singlepackshot/196316C02_RGB.png"",""mode"":1}")</f>
        <v>{"url":"https://us.pandora.net/on/demandware.static/-/Sites-pandora-master-catalog/default/dwbb259ca6/productimages/singlepackshot/196316C02_RGB.png","mode":1}</v>
      </c>
      <c r="D1649" s="5" t="str">
        <f ca="1">IFERROR(ROWSDUMMYFUNCTION(IF(A1649="","",CONCATENATE("https://us.pandora.net/on/demandware.static/-/Sites-pandora-master-catalog/default/dwbb259ca6/productimages/singlepackshot/",LEFT(A1649,FIND("-",A1649&amp;"-")-1),"_RGB.png"))),"https://us.pandora.net/on/demandware.static/-/Sites-pandora-master-catalog/default/dwbb259ca6/productimages/singlepackshot/196316C02_RGB.png")</f>
        <v>https://us.pandora.net/on/demandware.static/-/Sites-pandora-master-catalog/default/dwbb259ca6/productimages/singlepackshot/196316C02_RGB.png</v>
      </c>
    </row>
    <row r="1650" spans="1:4" x14ac:dyDescent="0.25">
      <c r="A1650" s="3" t="s">
        <v>1652</v>
      </c>
      <c r="B1650" s="4">
        <v>39</v>
      </c>
      <c r="C1650" s="3" t="str">
        <f ca="1">IFERROR(ROWSDUMMYFUNCTION(IF(A1650="","",IFERROR(IMAGE(CONCATENATE("https://us.pandora.net/on/demandware.static/-/Sites-pandora-master-catalog/default/dwbb259ca6/productimages/singlepackshot/",LEFT(A1650,FIND("-",A1650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0" s="5" t="str">
        <f ca="1">IFERROR(ROWSDUMMYFUNCTION(IF(A1650="","",CONCATENATE("https://us.pandora.net/on/demandware.static/-/Sites-pandora-master-catalog/default/dwbb259ca6/productimages/singlepackshot/",LEFT(A1650,FIND("-",A1650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1" spans="1:4" x14ac:dyDescent="0.25">
      <c r="A1651" s="3" t="s">
        <v>1653</v>
      </c>
      <c r="B1651" s="4">
        <v>39</v>
      </c>
      <c r="C1651" s="3" t="str">
        <f ca="1">IFERROR(ROWSDUMMYFUNCTION(IF(A1651="","",IFERROR(IMAGE(CONCATENATE("https://us.pandora.net/on/demandware.static/-/Sites-pandora-master-catalog/default/dwbb259ca6/productimages/singlepackshot/",LEFT(A1651,FIND("-",A1651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1" s="5" t="str">
        <f ca="1">IFERROR(ROWSDUMMYFUNCTION(IF(A1651="","",CONCATENATE("https://us.pandora.net/on/demandware.static/-/Sites-pandora-master-catalog/default/dwbb259ca6/productimages/singlepackshot/",LEFT(A1651,FIND("-",A1651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2" spans="1:4" x14ac:dyDescent="0.25">
      <c r="A1652" s="3" t="s">
        <v>1654</v>
      </c>
      <c r="B1652" s="4">
        <v>39</v>
      </c>
      <c r="C1652" s="3" t="str">
        <f ca="1">IFERROR(ROWSDUMMYFUNCTION(IF(A1652="","",IFERROR(IMAGE(CONCATENATE("https://us.pandora.net/on/demandware.static/-/Sites-pandora-master-catalog/default/dwbb259ca6/productimages/singlepackshot/",LEFT(A1652,FIND("-",A1652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2" s="5" t="str">
        <f ca="1">IFERROR(ROWSDUMMYFUNCTION(IF(A1652="","",CONCATENATE("https://us.pandora.net/on/demandware.static/-/Sites-pandora-master-catalog/default/dwbb259ca6/productimages/singlepackshot/",LEFT(A1652,FIND("-",A1652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3" spans="1:4" x14ac:dyDescent="0.25">
      <c r="A1653" s="3" t="s">
        <v>1655</v>
      </c>
      <c r="B1653" s="4">
        <v>39</v>
      </c>
      <c r="C1653" s="3" t="str">
        <f ca="1">IFERROR(ROWSDUMMYFUNCTION(IF(A1653="","",IFERROR(IMAGE(CONCATENATE("https://us.pandora.net/on/demandware.static/-/Sites-pandora-master-catalog/default/dwbb259ca6/productimages/singlepackshot/",LEFT(A1653,FIND("-",A1653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3" s="5" t="str">
        <f ca="1">IFERROR(ROWSDUMMYFUNCTION(IF(A1653="","",CONCATENATE("https://us.pandora.net/on/demandware.static/-/Sites-pandora-master-catalog/default/dwbb259ca6/productimages/singlepackshot/",LEFT(A1653,FIND("-",A1653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4" spans="1:4" x14ac:dyDescent="0.25">
      <c r="A1654" s="3" t="s">
        <v>1656</v>
      </c>
      <c r="B1654" s="4">
        <v>39</v>
      </c>
      <c r="C1654" s="3" t="str">
        <f ca="1">IFERROR(ROWSDUMMYFUNCTION(IF(A1654="","",IFERROR(IMAGE(CONCATENATE("https://us.pandora.net/on/demandware.static/-/Sites-pandora-master-catalog/default/dwbb259ca6/productimages/singlepackshot/",LEFT(A1654,FIND("-",A1654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4" s="5" t="str">
        <f ca="1">IFERROR(ROWSDUMMYFUNCTION(IF(A1654="","",CONCATENATE("https://us.pandora.net/on/demandware.static/-/Sites-pandora-master-catalog/default/dwbb259ca6/productimages/singlepackshot/",LEFT(A1654,FIND("-",A1654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5" spans="1:4" x14ac:dyDescent="0.25">
      <c r="A1655" s="3" t="s">
        <v>1657</v>
      </c>
      <c r="B1655" s="4">
        <v>39</v>
      </c>
      <c r="C1655" s="3" t="str">
        <f ca="1">IFERROR(ROWSDUMMYFUNCTION(IF(A1655="","",IFERROR(IMAGE(CONCATENATE("https://us.pandora.net/on/demandware.static/-/Sites-pandora-master-catalog/default/dwbb259ca6/productimages/singlepackshot/",LEFT(A1655,FIND("-",A1655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5" s="5" t="str">
        <f ca="1">IFERROR(ROWSDUMMYFUNCTION(IF(A1655="","",CONCATENATE("https://us.pandora.net/on/demandware.static/-/Sites-pandora-master-catalog/default/dwbb259ca6/productimages/singlepackshot/",LEFT(A1655,FIND("-",A1655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6" spans="1:4" x14ac:dyDescent="0.25">
      <c r="A1656" s="3" t="s">
        <v>1658</v>
      </c>
      <c r="B1656" s="4">
        <v>39</v>
      </c>
      <c r="C1656" s="3" t="str">
        <f ca="1">IFERROR(ROWSDUMMYFUNCTION(IF(A1656="","",IFERROR(IMAGE(CONCATENATE("https://us.pandora.net/on/demandware.static/-/Sites-pandora-master-catalog/default/dwbb259ca6/productimages/singlepackshot/",LEFT(A1656,FIND("-",A1656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6" s="5" t="str">
        <f ca="1">IFERROR(ROWSDUMMYFUNCTION(IF(A1656="","",CONCATENATE("https://us.pandora.net/on/demandware.static/-/Sites-pandora-master-catalog/default/dwbb259ca6/productimages/singlepackshot/",LEFT(A1656,FIND("-",A1656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7" spans="1:4" x14ac:dyDescent="0.25">
      <c r="A1657" s="3" t="s">
        <v>1659</v>
      </c>
      <c r="B1657" s="4">
        <v>39</v>
      </c>
      <c r="C1657" s="3" t="str">
        <f ca="1">IFERROR(ROWSDUMMYFUNCTION(IF(A1657="","",IFERROR(IMAGE(CONCATENATE("https://us.pandora.net/on/demandware.static/-/Sites-pandora-master-catalog/default/dwbb259ca6/productimages/singlepackshot/",LEFT(A1657,FIND("-",A1657&amp;"-")-1),"_RGB.png")),""))),"{""url"":""https://us.pandora.net/on/demandware.static/-/Sites-pandora-master-catalog/default/dwbb259ca6/productimages/singlepackshot/196316CZ_RGB.png"",""mode"":1}")</f>
        <v>{"url":"https://us.pandora.net/on/demandware.static/-/Sites-pandora-master-catalog/default/dwbb259ca6/productimages/singlepackshot/196316CZ_RGB.png","mode":1}</v>
      </c>
      <c r="D1657" s="5" t="str">
        <f ca="1">IFERROR(ROWSDUMMYFUNCTION(IF(A1657="","",CONCATENATE("https://us.pandora.net/on/demandware.static/-/Sites-pandora-master-catalog/default/dwbb259ca6/productimages/singlepackshot/",LEFT(A1657,FIND("-",A1657&amp;"-")-1),"_RGB.png"))),"https://us.pandora.net/on/demandware.static/-/Sites-pandora-master-catalog/default/dwbb259ca6/productimages/singlepackshot/196316CZ_RGB.png")</f>
        <v>https://us.pandora.net/on/demandware.static/-/Sites-pandora-master-catalog/default/dwbb259ca6/productimages/singlepackshot/196316CZ_RGB.png</v>
      </c>
    </row>
    <row r="1658" spans="1:4" x14ac:dyDescent="0.25">
      <c r="A1658" s="3" t="s">
        <v>1660</v>
      </c>
      <c r="B1658" s="4">
        <v>49</v>
      </c>
      <c r="C1658" s="3" t="str">
        <f ca="1">IFERROR(ROWSDUMMYFUNCTION(IF(A1658="","",IFERROR(IMAGE(CONCATENATE("https://us.pandora.net/on/demandware.static/-/Sites-pandora-master-catalog/default/dwbb259ca6/productimages/singlepackshot/",LEFT(A1658,FIND("-",A1658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58" s="5" t="str">
        <f ca="1">IFERROR(ROWSDUMMYFUNCTION(IF(A1658="","",CONCATENATE("https://us.pandora.net/on/demandware.static/-/Sites-pandora-master-catalog/default/dwbb259ca6/productimages/singlepackshot/",LEFT(A1658,FIND("-",A1658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59" spans="1:4" x14ac:dyDescent="0.25">
      <c r="A1659" s="3" t="s">
        <v>1661</v>
      </c>
      <c r="B1659" s="4">
        <v>49</v>
      </c>
      <c r="C1659" s="3" t="str">
        <f ca="1">IFERROR(ROWSDUMMYFUNCTION(IF(A1659="","",IFERROR(IMAGE(CONCATENATE("https://us.pandora.net/on/demandware.static/-/Sites-pandora-master-catalog/default/dwbb259ca6/productimages/singlepackshot/",LEFT(A1659,FIND("-",A1659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59" s="5" t="str">
        <f ca="1">IFERROR(ROWSDUMMYFUNCTION(IF(A1659="","",CONCATENATE("https://us.pandora.net/on/demandware.static/-/Sites-pandora-master-catalog/default/dwbb259ca6/productimages/singlepackshot/",LEFT(A1659,FIND("-",A1659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60" spans="1:4" x14ac:dyDescent="0.25">
      <c r="A1660" s="3" t="s">
        <v>1662</v>
      </c>
      <c r="B1660" s="4">
        <v>49</v>
      </c>
      <c r="C1660" s="3" t="str">
        <f ca="1">IFERROR(ROWSDUMMYFUNCTION(IF(A1660="","",IFERROR(IMAGE(CONCATENATE("https://us.pandora.net/on/demandware.static/-/Sites-pandora-master-catalog/default/dwbb259ca6/productimages/singlepackshot/",LEFT(A1660,FIND("-",A1660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60" s="5" t="str">
        <f ca="1">IFERROR(ROWSDUMMYFUNCTION(IF(A1660="","",CONCATENATE("https://us.pandora.net/on/demandware.static/-/Sites-pandora-master-catalog/default/dwbb259ca6/productimages/singlepackshot/",LEFT(A1660,FIND("-",A1660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61" spans="1:4" x14ac:dyDescent="0.25">
      <c r="A1661" s="3" t="s">
        <v>1663</v>
      </c>
      <c r="B1661" s="4">
        <v>49</v>
      </c>
      <c r="C1661" s="3" t="str">
        <f ca="1">IFERROR(ROWSDUMMYFUNCTION(IF(A1661="","",IFERROR(IMAGE(CONCATENATE("https://us.pandora.net/on/demandware.static/-/Sites-pandora-master-catalog/default/dwbb259ca6/productimages/singlepackshot/",LEFT(A1661,FIND("-",A1661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61" s="5" t="str">
        <f ca="1">IFERROR(ROWSDUMMYFUNCTION(IF(A1661="","",CONCATENATE("https://us.pandora.net/on/demandware.static/-/Sites-pandora-master-catalog/default/dwbb259ca6/productimages/singlepackshot/",LEFT(A1661,FIND("-",A1661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62" spans="1:4" x14ac:dyDescent="0.25">
      <c r="A1662" s="3" t="s">
        <v>1664</v>
      </c>
      <c r="B1662" s="4">
        <v>49</v>
      </c>
      <c r="C1662" s="3" t="str">
        <f ca="1">IFERROR(ROWSDUMMYFUNCTION(IF(A1662="","",IFERROR(IMAGE(CONCATENATE("https://us.pandora.net/on/demandware.static/-/Sites-pandora-master-catalog/default/dwbb259ca6/productimages/singlepackshot/",LEFT(A1662,FIND("-",A1662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62" s="5" t="str">
        <f ca="1">IFERROR(ROWSDUMMYFUNCTION(IF(A1662="","",CONCATENATE("https://us.pandora.net/on/demandware.static/-/Sites-pandora-master-catalog/default/dwbb259ca6/productimages/singlepackshot/",LEFT(A1662,FIND("-",A1662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63" spans="1:4" x14ac:dyDescent="0.25">
      <c r="A1663" s="3" t="s">
        <v>1665</v>
      </c>
      <c r="B1663" s="4">
        <v>49</v>
      </c>
      <c r="C1663" s="3" t="str">
        <f ca="1">IFERROR(ROWSDUMMYFUNCTION(IF(A1663="","",IFERROR(IMAGE(CONCATENATE("https://us.pandora.net/on/demandware.static/-/Sites-pandora-master-catalog/default/dwbb259ca6/productimages/singlepackshot/",LEFT(A1663,FIND("-",A1663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63" s="5" t="str">
        <f ca="1">IFERROR(ROWSDUMMYFUNCTION(IF(A1663="","",CONCATENATE("https://us.pandora.net/on/demandware.static/-/Sites-pandora-master-catalog/default/dwbb259ca6/productimages/singlepackshot/",LEFT(A1663,FIND("-",A1663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64" spans="1:4" x14ac:dyDescent="0.25">
      <c r="A1664" s="3" t="s">
        <v>1666</v>
      </c>
      <c r="B1664" s="4">
        <v>49</v>
      </c>
      <c r="C1664" s="3" t="str">
        <f ca="1">IFERROR(ROWSDUMMYFUNCTION(IF(A1664="","",IFERROR(IMAGE(CONCATENATE("https://us.pandora.net/on/demandware.static/-/Sites-pandora-master-catalog/default/dwbb259ca6/productimages/singlepackshot/",LEFT(A1664,FIND("-",A1664&amp;"-")-1),"_RGB.png")),""))),"{""url"":""https://us.pandora.net/on/demandware.static/-/Sites-pandora-master-catalog/default/dwbb259ca6/productimages/singlepackshot/196574CZRMX_RGB.png"",""mode"":1}")</f>
        <v>{"url":"https://us.pandora.net/on/demandware.static/-/Sites-pandora-master-catalog/default/dwbb259ca6/productimages/singlepackshot/196574CZRMX_RGB.png","mode":1}</v>
      </c>
      <c r="D1664" s="5" t="str">
        <f ca="1">IFERROR(ROWSDUMMYFUNCTION(IF(A1664="","",CONCATENATE("https://us.pandora.net/on/demandware.static/-/Sites-pandora-master-catalog/default/dwbb259ca6/productimages/singlepackshot/",LEFT(A1664,FIND("-",A1664&amp;"-")-1),"_RGB.png"))),"https://us.pandora.net/on/demandware.static/-/Sites-pandora-master-catalog/default/dwbb259ca6/productimages/singlepackshot/196574CZRMX_RGB.png")</f>
        <v>https://us.pandora.net/on/demandware.static/-/Sites-pandora-master-catalog/default/dwbb259ca6/productimages/singlepackshot/196574CZRMX_RGB.png</v>
      </c>
    </row>
    <row r="1665" spans="1:4" x14ac:dyDescent="0.25">
      <c r="A1665" s="3" t="s">
        <v>1667</v>
      </c>
      <c r="B1665" s="4">
        <v>49</v>
      </c>
      <c r="C1665" s="3" t="str">
        <f ca="1">IFERROR(ROWSDUMMYFUNCTION(IF(A1665="","",IFERROR(IMAGE(CONCATENATE("https://us.pandora.net/on/demandware.static/-/Sites-pandora-master-catalog/default/dwbb259ca6/productimages/singlepackshot/",LEFT(A1665,FIND("-",A1665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65" s="5" t="str">
        <f ca="1">IFERROR(ROWSDUMMYFUNCTION(IF(A1665="","",CONCATENATE("https://us.pandora.net/on/demandware.static/-/Sites-pandora-master-catalog/default/dwbb259ca6/productimages/singlepackshot/",LEFT(A1665,FIND("-",A1665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66" spans="1:4" x14ac:dyDescent="0.25">
      <c r="A1666" s="3" t="s">
        <v>1668</v>
      </c>
      <c r="B1666" s="4">
        <v>49</v>
      </c>
      <c r="C1666" s="3" t="str">
        <f ca="1">IFERROR(ROWSDUMMYFUNCTION(IF(A1666="","",IFERROR(IMAGE(CONCATENATE("https://us.pandora.net/on/demandware.static/-/Sites-pandora-master-catalog/default/dwbb259ca6/productimages/singlepackshot/",LEFT(A1666,FIND("-",A1666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66" s="5" t="str">
        <f ca="1">IFERROR(ROWSDUMMYFUNCTION(IF(A1666="","",CONCATENATE("https://us.pandora.net/on/demandware.static/-/Sites-pandora-master-catalog/default/dwbb259ca6/productimages/singlepackshot/",LEFT(A1666,FIND("-",A1666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67" spans="1:4" x14ac:dyDescent="0.25">
      <c r="A1667" s="3" t="s">
        <v>1669</v>
      </c>
      <c r="B1667" s="4">
        <v>49</v>
      </c>
      <c r="C1667" s="3" t="str">
        <f ca="1">IFERROR(ROWSDUMMYFUNCTION(IF(A1667="","",IFERROR(IMAGE(CONCATENATE("https://us.pandora.net/on/demandware.static/-/Sites-pandora-master-catalog/default/dwbb259ca6/productimages/singlepackshot/",LEFT(A1667,FIND("-",A1667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67" s="5" t="str">
        <f ca="1">IFERROR(ROWSDUMMYFUNCTION(IF(A1667="","",CONCATENATE("https://us.pandora.net/on/demandware.static/-/Sites-pandora-master-catalog/default/dwbb259ca6/productimages/singlepackshot/",LEFT(A1667,FIND("-",A1667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68" spans="1:4" x14ac:dyDescent="0.25">
      <c r="A1668" s="3" t="s">
        <v>1670</v>
      </c>
      <c r="B1668" s="4">
        <v>49</v>
      </c>
      <c r="C1668" s="3" t="str">
        <f ca="1">IFERROR(ROWSDUMMYFUNCTION(IF(A1668="","",IFERROR(IMAGE(CONCATENATE("https://us.pandora.net/on/demandware.static/-/Sites-pandora-master-catalog/default/dwbb259ca6/productimages/singlepackshot/",LEFT(A1668,FIND("-",A1668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68" s="5" t="str">
        <f ca="1">IFERROR(ROWSDUMMYFUNCTION(IF(A1668="","",CONCATENATE("https://us.pandora.net/on/demandware.static/-/Sites-pandora-master-catalog/default/dwbb259ca6/productimages/singlepackshot/",LEFT(A1668,FIND("-",A1668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69" spans="1:4" x14ac:dyDescent="0.25">
      <c r="A1669" s="3" t="s">
        <v>1671</v>
      </c>
      <c r="B1669" s="4">
        <v>49</v>
      </c>
      <c r="C1669" s="3" t="str">
        <f ca="1">IFERROR(ROWSDUMMYFUNCTION(IF(A1669="","",IFERROR(IMAGE(CONCATENATE("https://us.pandora.net/on/demandware.static/-/Sites-pandora-master-catalog/default/dwbb259ca6/productimages/singlepackshot/",LEFT(A1669,FIND("-",A1669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69" s="5" t="str">
        <f ca="1">IFERROR(ROWSDUMMYFUNCTION(IF(A1669="","",CONCATENATE("https://us.pandora.net/on/demandware.static/-/Sites-pandora-master-catalog/default/dwbb259ca6/productimages/singlepackshot/",LEFT(A1669,FIND("-",A1669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70" spans="1:4" x14ac:dyDescent="0.25">
      <c r="A1670" s="3" t="s">
        <v>1672</v>
      </c>
      <c r="B1670" s="4">
        <v>49</v>
      </c>
      <c r="C1670" s="3" t="str">
        <f ca="1">IFERROR(ROWSDUMMYFUNCTION(IF(A1670="","",IFERROR(IMAGE(CONCATENATE("https://us.pandora.net/on/demandware.static/-/Sites-pandora-master-catalog/default/dwbb259ca6/productimages/singlepackshot/",LEFT(A1670,FIND("-",A1670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70" s="5" t="str">
        <f ca="1">IFERROR(ROWSDUMMYFUNCTION(IF(A1670="","",CONCATENATE("https://us.pandora.net/on/demandware.static/-/Sites-pandora-master-catalog/default/dwbb259ca6/productimages/singlepackshot/",LEFT(A1670,FIND("-",A1670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71" spans="1:4" x14ac:dyDescent="0.25">
      <c r="A1671" s="3" t="s">
        <v>1673</v>
      </c>
      <c r="B1671" s="4">
        <v>49</v>
      </c>
      <c r="C1671" s="3" t="str">
        <f ca="1">IFERROR(ROWSDUMMYFUNCTION(IF(A1671="","",IFERROR(IMAGE(CONCATENATE("https://us.pandora.net/on/demandware.static/-/Sites-pandora-master-catalog/default/dwbb259ca6/productimages/singlepackshot/",LEFT(A1671,FIND("-",A1671&amp;"-")-1),"_RGB.png")),""))),"{""url"":""https://us.pandora.net/on/demandware.static/-/Sites-pandora-master-catalog/default/dwbb259ca6/productimages/singlepackshot/197681_RGB.png"",""mode"":1}")</f>
        <v>{"url":"https://us.pandora.net/on/demandware.static/-/Sites-pandora-master-catalog/default/dwbb259ca6/productimages/singlepackshot/197681_RGB.png","mode":1}</v>
      </c>
      <c r="D1671" s="5" t="str">
        <f ca="1">IFERROR(ROWSDUMMYFUNCTION(IF(A1671="","",CONCATENATE("https://us.pandora.net/on/demandware.static/-/Sites-pandora-master-catalog/default/dwbb259ca6/productimages/singlepackshot/",LEFT(A1671,FIND("-",A1671&amp;"-")-1),"_RGB.png"))),"https://us.pandora.net/on/demandware.static/-/Sites-pandora-master-catalog/default/dwbb259ca6/productimages/singlepackshot/197681_RGB.png")</f>
        <v>https://us.pandora.net/on/demandware.static/-/Sites-pandora-master-catalog/default/dwbb259ca6/productimages/singlepackshot/197681_RGB.png</v>
      </c>
    </row>
    <row r="1672" spans="1:4" x14ac:dyDescent="0.25">
      <c r="A1672" s="3" t="s">
        <v>1674</v>
      </c>
      <c r="B1672" s="4">
        <v>79</v>
      </c>
      <c r="C1672" s="3" t="str">
        <f ca="1">IFERROR(ROWSDUMMYFUNCTION(IF(A1672="","",IFERROR(IMAGE(CONCATENATE("https://us.pandora.net/on/demandware.static/-/Sites-pandora-master-catalog/default/dwbb259ca6/productimages/singlepackshot/",LEFT(A1672,FIND("-",A1672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2" s="5" t="str">
        <f ca="1">IFERROR(ROWSDUMMYFUNCTION(IF(A1672="","",CONCATENATE("https://us.pandora.net/on/demandware.static/-/Sites-pandora-master-catalog/default/dwbb259ca6/productimages/singlepackshot/",LEFT(A1672,FIND("-",A1672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3" spans="1:4" x14ac:dyDescent="0.25">
      <c r="A1673" s="3" t="s">
        <v>1675</v>
      </c>
      <c r="B1673" s="4">
        <v>79</v>
      </c>
      <c r="C1673" s="3" t="str">
        <f ca="1">IFERROR(ROWSDUMMYFUNCTION(IF(A1673="","",IFERROR(IMAGE(CONCATENATE("https://us.pandora.net/on/demandware.static/-/Sites-pandora-master-catalog/default/dwbb259ca6/productimages/singlepackshot/",LEFT(A1673,FIND("-",A1673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3" s="5" t="str">
        <f ca="1">IFERROR(ROWSDUMMYFUNCTION(IF(A1673="","",CONCATENATE("https://us.pandora.net/on/demandware.static/-/Sites-pandora-master-catalog/default/dwbb259ca6/productimages/singlepackshot/",LEFT(A1673,FIND("-",A1673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4" spans="1:4" x14ac:dyDescent="0.25">
      <c r="A1674" s="3" t="s">
        <v>1676</v>
      </c>
      <c r="B1674" s="4">
        <v>79</v>
      </c>
      <c r="C1674" s="3" t="str">
        <f ca="1">IFERROR(ROWSDUMMYFUNCTION(IF(A1674="","",IFERROR(IMAGE(CONCATENATE("https://us.pandora.net/on/demandware.static/-/Sites-pandora-master-catalog/default/dwbb259ca6/productimages/singlepackshot/",LEFT(A1674,FIND("-",A1674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4" s="5" t="str">
        <f ca="1">IFERROR(ROWSDUMMYFUNCTION(IF(A1674="","",CONCATENATE("https://us.pandora.net/on/demandware.static/-/Sites-pandora-master-catalog/default/dwbb259ca6/productimages/singlepackshot/",LEFT(A1674,FIND("-",A1674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5" spans="1:4" x14ac:dyDescent="0.25">
      <c r="A1675" s="3" t="s">
        <v>1677</v>
      </c>
      <c r="B1675" s="4">
        <v>79</v>
      </c>
      <c r="C1675" s="3" t="str">
        <f ca="1">IFERROR(ROWSDUMMYFUNCTION(IF(A1675="","",IFERROR(IMAGE(CONCATENATE("https://us.pandora.net/on/demandware.static/-/Sites-pandora-master-catalog/default/dwbb259ca6/productimages/singlepackshot/",LEFT(A1675,FIND("-",A1675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5" s="5" t="str">
        <f ca="1">IFERROR(ROWSDUMMYFUNCTION(IF(A1675="","",CONCATENATE("https://us.pandora.net/on/demandware.static/-/Sites-pandora-master-catalog/default/dwbb259ca6/productimages/singlepackshot/",LEFT(A1675,FIND("-",A1675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6" spans="1:4" x14ac:dyDescent="0.25">
      <c r="A1676" s="3" t="s">
        <v>1678</v>
      </c>
      <c r="B1676" s="4">
        <v>79</v>
      </c>
      <c r="C1676" s="3" t="str">
        <f ca="1">IFERROR(ROWSDUMMYFUNCTION(IF(A1676="","",IFERROR(IMAGE(CONCATENATE("https://us.pandora.net/on/demandware.static/-/Sites-pandora-master-catalog/default/dwbb259ca6/productimages/singlepackshot/",LEFT(A1676,FIND("-",A1676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6" s="5" t="str">
        <f ca="1">IFERROR(ROWSDUMMYFUNCTION(IF(A1676="","",CONCATENATE("https://us.pandora.net/on/demandware.static/-/Sites-pandora-master-catalog/default/dwbb259ca6/productimages/singlepackshot/",LEFT(A1676,FIND("-",A1676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7" spans="1:4" x14ac:dyDescent="0.25">
      <c r="A1677" s="3" t="s">
        <v>1679</v>
      </c>
      <c r="B1677" s="4">
        <v>79</v>
      </c>
      <c r="C1677" s="3" t="str">
        <f ca="1">IFERROR(ROWSDUMMYFUNCTION(IF(A1677="","",IFERROR(IMAGE(CONCATENATE("https://us.pandora.net/on/demandware.static/-/Sites-pandora-master-catalog/default/dwbb259ca6/productimages/singlepackshot/",LEFT(A1677,FIND("-",A1677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7" s="5" t="str">
        <f ca="1">IFERROR(ROWSDUMMYFUNCTION(IF(A1677="","",CONCATENATE("https://us.pandora.net/on/demandware.static/-/Sites-pandora-master-catalog/default/dwbb259ca6/productimages/singlepackshot/",LEFT(A1677,FIND("-",A1677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8" spans="1:4" x14ac:dyDescent="0.25">
      <c r="A1678" s="3" t="s">
        <v>1680</v>
      </c>
      <c r="B1678" s="4">
        <v>79</v>
      </c>
      <c r="C1678" s="3" t="str">
        <f ca="1">IFERROR(ROWSDUMMYFUNCTION(IF(A1678="","",IFERROR(IMAGE(CONCATENATE("https://us.pandora.net/on/demandware.static/-/Sites-pandora-master-catalog/default/dwbb259ca6/productimages/singlepackshot/",LEFT(A1678,FIND("-",A1678&amp;"-")-1),"_RGB.png")),""))),"{""url"":""https://us.pandora.net/on/demandware.static/-/Sites-pandora-master-catalog/default/dwbb259ca6/productimages/singlepackshot/197736CZ_RGB.png"",""mode"":1}")</f>
        <v>{"url":"https://us.pandora.net/on/demandware.static/-/Sites-pandora-master-catalog/default/dwbb259ca6/productimages/singlepackshot/197736CZ_RGB.png","mode":1}</v>
      </c>
      <c r="D1678" s="5" t="str">
        <f ca="1">IFERROR(ROWSDUMMYFUNCTION(IF(A1678="","",CONCATENATE("https://us.pandora.net/on/demandware.static/-/Sites-pandora-master-catalog/default/dwbb259ca6/productimages/singlepackshot/",LEFT(A1678,FIND("-",A1678&amp;"-")-1),"_RGB.png"))),"https://us.pandora.net/on/demandware.static/-/Sites-pandora-master-catalog/default/dwbb259ca6/productimages/singlepackshot/197736CZ_RGB.png")</f>
        <v>https://us.pandora.net/on/demandware.static/-/Sites-pandora-master-catalog/default/dwbb259ca6/productimages/singlepackshot/197736CZ_RGB.png</v>
      </c>
    </row>
    <row r="1679" spans="1:4" x14ac:dyDescent="0.25">
      <c r="A1679" s="3" t="s">
        <v>1681</v>
      </c>
      <c r="B1679" s="4">
        <v>39</v>
      </c>
      <c r="C1679" s="3" t="str">
        <f ca="1">IFERROR(ROWSDUMMYFUNCTION(IF(A1679="","",IFERROR(IMAGE(CONCATENATE("https://us.pandora.net/on/demandware.static/-/Sites-pandora-master-catalog/default/dwbb259ca6/productimages/singlepackshot/",LEFT(A1679,FIND("-",A1679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79" s="5" t="str">
        <f ca="1">IFERROR(ROWSDUMMYFUNCTION(IF(A1679="","",CONCATENATE("https://us.pandora.net/on/demandware.static/-/Sites-pandora-master-catalog/default/dwbb259ca6/productimages/singlepackshot/",LEFT(A1679,FIND("-",A1679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0" spans="1:4" x14ac:dyDescent="0.25">
      <c r="A1680" s="3" t="s">
        <v>1682</v>
      </c>
      <c r="B1680" s="4">
        <v>39</v>
      </c>
      <c r="C1680" s="3" t="str">
        <f ca="1">IFERROR(ROWSDUMMYFUNCTION(IF(A1680="","",IFERROR(IMAGE(CONCATENATE("https://us.pandora.net/on/demandware.static/-/Sites-pandora-master-catalog/default/dwbb259ca6/productimages/singlepackshot/",LEFT(A1680,FIND("-",A1680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80" s="5" t="str">
        <f ca="1">IFERROR(ROWSDUMMYFUNCTION(IF(A1680="","",CONCATENATE("https://us.pandora.net/on/demandware.static/-/Sites-pandora-master-catalog/default/dwbb259ca6/productimages/singlepackshot/",LEFT(A1680,FIND("-",A1680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1" spans="1:4" x14ac:dyDescent="0.25">
      <c r="A1681" s="3" t="s">
        <v>1683</v>
      </c>
      <c r="B1681" s="4">
        <v>39</v>
      </c>
      <c r="C1681" s="3" t="str">
        <f ca="1">IFERROR(ROWSDUMMYFUNCTION(IF(A1681="","",IFERROR(IMAGE(CONCATENATE("https://us.pandora.net/on/demandware.static/-/Sites-pandora-master-catalog/default/dwbb259ca6/productimages/singlepackshot/",LEFT(A1681,FIND("-",A1681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81" s="5" t="str">
        <f ca="1">IFERROR(ROWSDUMMYFUNCTION(IF(A1681="","",CONCATENATE("https://us.pandora.net/on/demandware.static/-/Sites-pandora-master-catalog/default/dwbb259ca6/productimages/singlepackshot/",LEFT(A1681,FIND("-",A1681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2" spans="1:4" x14ac:dyDescent="0.25">
      <c r="A1682" s="3" t="s">
        <v>1684</v>
      </c>
      <c r="B1682" s="4">
        <v>39</v>
      </c>
      <c r="C1682" s="3" t="str">
        <f ca="1">IFERROR(ROWSDUMMYFUNCTION(IF(A1682="","",IFERROR(IMAGE(CONCATENATE("https://us.pandora.net/on/demandware.static/-/Sites-pandora-master-catalog/default/dwbb259ca6/productimages/singlepackshot/",LEFT(A1682,FIND("-",A1682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82" s="5" t="str">
        <f ca="1">IFERROR(ROWSDUMMYFUNCTION(IF(A1682="","",CONCATENATE("https://us.pandora.net/on/demandware.static/-/Sites-pandora-master-catalog/default/dwbb259ca6/productimages/singlepackshot/",LEFT(A1682,FIND("-",A1682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3" spans="1:4" x14ac:dyDescent="0.25">
      <c r="A1683" s="3" t="s">
        <v>1685</v>
      </c>
      <c r="B1683" s="4">
        <v>39</v>
      </c>
      <c r="C1683" s="3" t="str">
        <f ca="1">IFERROR(ROWSDUMMYFUNCTION(IF(A1683="","",IFERROR(IMAGE(CONCATENATE("https://us.pandora.net/on/demandware.static/-/Sites-pandora-master-catalog/default/dwbb259ca6/productimages/singlepackshot/",LEFT(A1683,FIND("-",A1683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83" s="5" t="str">
        <f ca="1">IFERROR(ROWSDUMMYFUNCTION(IF(A1683="","",CONCATENATE("https://us.pandora.net/on/demandware.static/-/Sites-pandora-master-catalog/default/dwbb259ca6/productimages/singlepackshot/",LEFT(A1683,FIND("-",A1683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4" spans="1:4" x14ac:dyDescent="0.25">
      <c r="A1684" s="3" t="s">
        <v>1686</v>
      </c>
      <c r="B1684" s="4">
        <v>39</v>
      </c>
      <c r="C1684" s="3" t="str">
        <f ca="1">IFERROR(ROWSDUMMYFUNCTION(IF(A1684="","",IFERROR(IMAGE(CONCATENATE("https://us.pandora.net/on/demandware.static/-/Sites-pandora-master-catalog/default/dwbb259ca6/productimages/singlepackshot/",LEFT(A1684,FIND("-",A1684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84" s="5" t="str">
        <f ca="1">IFERROR(ROWSDUMMYFUNCTION(IF(A1684="","",CONCATENATE("https://us.pandora.net/on/demandware.static/-/Sites-pandora-master-catalog/default/dwbb259ca6/productimages/singlepackshot/",LEFT(A1684,FIND("-",A1684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5" spans="1:4" x14ac:dyDescent="0.25">
      <c r="A1685" s="3" t="s">
        <v>1687</v>
      </c>
      <c r="B1685" s="4">
        <v>39</v>
      </c>
      <c r="C1685" s="3" t="str">
        <f ca="1">IFERROR(ROWSDUMMYFUNCTION(IF(A1685="","",IFERROR(IMAGE(CONCATENATE("https://us.pandora.net/on/demandware.static/-/Sites-pandora-master-catalog/default/dwbb259ca6/productimages/singlepackshot/",LEFT(A1685,FIND("-",A1685&amp;"-")-1),"_RGB.png")),""))),"{""url"":""https://us.pandora.net/on/demandware.static/-/Sites-pandora-master-catalog/default/dwbb259ca6/productimages/singlepackshot/198018_RGB.png"",""mode"":1}")</f>
        <v>{"url":"https://us.pandora.net/on/demandware.static/-/Sites-pandora-master-catalog/default/dwbb259ca6/productimages/singlepackshot/198018_RGB.png","mode":1}</v>
      </c>
      <c r="D1685" s="5" t="str">
        <f ca="1">IFERROR(ROWSDUMMYFUNCTION(IF(A1685="","",CONCATENATE("https://us.pandora.net/on/demandware.static/-/Sites-pandora-master-catalog/default/dwbb259ca6/productimages/singlepackshot/",LEFT(A1685,FIND("-",A1685&amp;"-")-1),"_RGB.png"))),"https://us.pandora.net/on/demandware.static/-/Sites-pandora-master-catalog/default/dwbb259ca6/productimages/singlepackshot/198018_RGB.png")</f>
        <v>https://us.pandora.net/on/demandware.static/-/Sites-pandora-master-catalog/default/dwbb259ca6/productimages/singlepackshot/198018_RGB.png</v>
      </c>
    </row>
    <row r="1686" spans="1:4" x14ac:dyDescent="0.25">
      <c r="A1686" s="3" t="s">
        <v>1688</v>
      </c>
      <c r="B1686" s="4">
        <v>39</v>
      </c>
      <c r="C1686" s="3" t="str">
        <f ca="1">IFERROR(ROWSDUMMYFUNCTION(IF(A1686="","",IFERROR(IMAGE(CONCATENATE("https://us.pandora.net/on/demandware.static/-/Sites-pandora-master-catalog/default/dwbb259ca6/productimages/singlepackshot/",LEFT(A1686,FIND("-",A1686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86" s="5" t="str">
        <f ca="1">IFERROR(ROWSDUMMYFUNCTION(IF(A1686="","",CONCATENATE("https://us.pandora.net/on/demandware.static/-/Sites-pandora-master-catalog/default/dwbb259ca6/productimages/singlepackshot/",LEFT(A1686,FIND("-",A1686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87" spans="1:4" x14ac:dyDescent="0.25">
      <c r="A1687" s="3" t="s">
        <v>1689</v>
      </c>
      <c r="B1687" s="4">
        <v>39</v>
      </c>
      <c r="C1687" s="3" t="str">
        <f ca="1">IFERROR(ROWSDUMMYFUNCTION(IF(A1687="","",IFERROR(IMAGE(CONCATENATE("https://us.pandora.net/on/demandware.static/-/Sites-pandora-master-catalog/default/dwbb259ca6/productimages/singlepackshot/",LEFT(A1687,FIND("-",A1687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87" s="5" t="str">
        <f ca="1">IFERROR(ROWSDUMMYFUNCTION(IF(A1687="","",CONCATENATE("https://us.pandora.net/on/demandware.static/-/Sites-pandora-master-catalog/default/dwbb259ca6/productimages/singlepackshot/",LEFT(A1687,FIND("-",A1687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88" spans="1:4" x14ac:dyDescent="0.25">
      <c r="A1688" s="3" t="s">
        <v>1690</v>
      </c>
      <c r="B1688" s="4">
        <v>39</v>
      </c>
      <c r="C1688" s="3" t="str">
        <f ca="1">IFERROR(ROWSDUMMYFUNCTION(IF(A1688="","",IFERROR(IMAGE(CONCATENATE("https://us.pandora.net/on/demandware.static/-/Sites-pandora-master-catalog/default/dwbb259ca6/productimages/singlepackshot/",LEFT(A1688,FIND("-",A1688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88" s="5" t="str">
        <f ca="1">IFERROR(ROWSDUMMYFUNCTION(IF(A1688="","",CONCATENATE("https://us.pandora.net/on/demandware.static/-/Sites-pandora-master-catalog/default/dwbb259ca6/productimages/singlepackshot/",LEFT(A1688,FIND("-",A1688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89" spans="1:4" x14ac:dyDescent="0.25">
      <c r="A1689" s="3" t="s">
        <v>1691</v>
      </c>
      <c r="B1689" s="4">
        <v>39</v>
      </c>
      <c r="C1689" s="3" t="str">
        <f ca="1">IFERROR(ROWSDUMMYFUNCTION(IF(A1689="","",IFERROR(IMAGE(CONCATENATE("https://us.pandora.net/on/demandware.static/-/Sites-pandora-master-catalog/default/dwbb259ca6/productimages/singlepackshot/",LEFT(A1689,FIND("-",A1689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89" s="5" t="str">
        <f ca="1">IFERROR(ROWSDUMMYFUNCTION(IF(A1689="","",CONCATENATE("https://us.pandora.net/on/demandware.static/-/Sites-pandora-master-catalog/default/dwbb259ca6/productimages/singlepackshot/",LEFT(A1689,FIND("-",A1689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90" spans="1:4" x14ac:dyDescent="0.25">
      <c r="A1690" s="3" t="s">
        <v>1692</v>
      </c>
      <c r="B1690" s="4">
        <v>39</v>
      </c>
      <c r="C1690" s="3" t="str">
        <f ca="1">IFERROR(ROWSDUMMYFUNCTION(IF(A1690="","",IFERROR(IMAGE(CONCATENATE("https://us.pandora.net/on/demandware.static/-/Sites-pandora-master-catalog/default/dwbb259ca6/productimages/singlepackshot/",LEFT(A1690,FIND("-",A1690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90" s="5" t="str">
        <f ca="1">IFERROR(ROWSDUMMYFUNCTION(IF(A1690="","",CONCATENATE("https://us.pandora.net/on/demandware.static/-/Sites-pandora-master-catalog/default/dwbb259ca6/productimages/singlepackshot/",LEFT(A1690,FIND("-",A1690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91" spans="1:4" x14ac:dyDescent="0.25">
      <c r="A1691" s="3" t="s">
        <v>1693</v>
      </c>
      <c r="B1691" s="4">
        <v>39</v>
      </c>
      <c r="C1691" s="3" t="str">
        <f ca="1">IFERROR(ROWSDUMMYFUNCTION(IF(A1691="","",IFERROR(IMAGE(CONCATENATE("https://us.pandora.net/on/demandware.static/-/Sites-pandora-master-catalog/default/dwbb259ca6/productimages/singlepackshot/",LEFT(A1691,FIND("-",A1691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91" s="5" t="str">
        <f ca="1">IFERROR(ROWSDUMMYFUNCTION(IF(A1691="","",CONCATENATE("https://us.pandora.net/on/demandware.static/-/Sites-pandora-master-catalog/default/dwbb259ca6/productimages/singlepackshot/",LEFT(A1691,FIND("-",A1691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92" spans="1:4" x14ac:dyDescent="0.25">
      <c r="A1692" s="3" t="s">
        <v>1694</v>
      </c>
      <c r="B1692" s="4">
        <v>39</v>
      </c>
      <c r="C1692" s="3" t="str">
        <f ca="1">IFERROR(ROWSDUMMYFUNCTION(IF(A1692="","",IFERROR(IMAGE(CONCATENATE("https://us.pandora.net/on/demandware.static/-/Sites-pandora-master-catalog/default/dwbb259ca6/productimages/singlepackshot/",LEFT(A1692,FIND("-",A1692&amp;"-")-1),"_RGB.png")),""))),"{""url"":""https://us.pandora.net/on/demandware.static/-/Sites-pandora-master-catalog/default/dwbb259ca6/productimages/singlepackshot/198282CZ_RGB.png"",""mode"":1}")</f>
        <v>{"url":"https://us.pandora.net/on/demandware.static/-/Sites-pandora-master-catalog/default/dwbb259ca6/productimages/singlepackshot/198282CZ_RGB.png","mode":1}</v>
      </c>
      <c r="D1692" s="5" t="str">
        <f ca="1">IFERROR(ROWSDUMMYFUNCTION(IF(A1692="","",CONCATENATE("https://us.pandora.net/on/demandware.static/-/Sites-pandora-master-catalog/default/dwbb259ca6/productimages/singlepackshot/",LEFT(A1692,FIND("-",A1692&amp;"-")-1),"_RGB.png"))),"https://us.pandora.net/on/demandware.static/-/Sites-pandora-master-catalog/default/dwbb259ca6/productimages/singlepackshot/198282CZ_RGB.png")</f>
        <v>https://us.pandora.net/on/demandware.static/-/Sites-pandora-master-catalog/default/dwbb259ca6/productimages/singlepackshot/198282CZ_RGB.png</v>
      </c>
    </row>
    <row r="1693" spans="1:4" x14ac:dyDescent="0.25">
      <c r="A1693" s="3" t="s">
        <v>1695</v>
      </c>
      <c r="B1693" s="4">
        <v>79</v>
      </c>
      <c r="C1693" s="3" t="str">
        <f ca="1">IFERROR(ROWSDUMMYFUNCTION(IF(A1693="","",IFERROR(IMAGE(CONCATENATE("https://us.pandora.net/on/demandware.static/-/Sites-pandora-master-catalog/default/dwbb259ca6/productimages/singlepackshot/",LEFT(A1693,FIND("-",A1693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3" s="5" t="str">
        <f ca="1">IFERROR(ROWSDUMMYFUNCTION(IF(A1693="","",CONCATENATE("https://us.pandora.net/on/demandware.static/-/Sites-pandora-master-catalog/default/dwbb259ca6/productimages/singlepackshot/",LEFT(A1693,FIND("-",A1693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694" spans="1:4" x14ac:dyDescent="0.25">
      <c r="A1694" s="3" t="s">
        <v>1696</v>
      </c>
      <c r="B1694" s="4">
        <v>79</v>
      </c>
      <c r="C1694" s="3" t="str">
        <f ca="1">IFERROR(ROWSDUMMYFUNCTION(IF(A1694="","",IFERROR(IMAGE(CONCATENATE("https://us.pandora.net/on/demandware.static/-/Sites-pandora-master-catalog/default/dwbb259ca6/productimages/singlepackshot/",LEFT(A1694,FIND("-",A1694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4" s="5" t="str">
        <f ca="1">IFERROR(ROWSDUMMYFUNCTION(IF(A1694="","",CONCATENATE("https://us.pandora.net/on/demandware.static/-/Sites-pandora-master-catalog/default/dwbb259ca6/productimages/singlepackshot/",LEFT(A1694,FIND("-",A1694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695" spans="1:4" x14ac:dyDescent="0.25">
      <c r="A1695" s="3" t="s">
        <v>1697</v>
      </c>
      <c r="B1695" s="4">
        <v>79</v>
      </c>
      <c r="C1695" s="3" t="str">
        <f ca="1">IFERROR(ROWSDUMMYFUNCTION(IF(A1695="","",IFERROR(IMAGE(CONCATENATE("https://us.pandora.net/on/demandware.static/-/Sites-pandora-master-catalog/default/dwbb259ca6/productimages/singlepackshot/",LEFT(A1695,FIND("-",A1695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5" s="5" t="str">
        <f ca="1">IFERROR(ROWSDUMMYFUNCTION(IF(A1695="","",CONCATENATE("https://us.pandora.net/on/demandware.static/-/Sites-pandora-master-catalog/default/dwbb259ca6/productimages/singlepackshot/",LEFT(A1695,FIND("-",A1695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696" spans="1:4" x14ac:dyDescent="0.25">
      <c r="A1696" s="3" t="s">
        <v>1698</v>
      </c>
      <c r="B1696" s="4">
        <v>79</v>
      </c>
      <c r="C1696" s="3" t="str">
        <f ca="1">IFERROR(ROWSDUMMYFUNCTION(IF(A1696="","",IFERROR(IMAGE(CONCATENATE("https://us.pandora.net/on/demandware.static/-/Sites-pandora-master-catalog/default/dwbb259ca6/productimages/singlepackshot/",LEFT(A1696,FIND("-",A1696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6" s="5" t="str">
        <f ca="1">IFERROR(ROWSDUMMYFUNCTION(IF(A1696="","",CONCATENATE("https://us.pandora.net/on/demandware.static/-/Sites-pandora-master-catalog/default/dwbb259ca6/productimages/singlepackshot/",LEFT(A1696,FIND("-",A1696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697" spans="1:4" x14ac:dyDescent="0.25">
      <c r="A1697" s="3" t="s">
        <v>1699</v>
      </c>
      <c r="B1697" s="4">
        <v>79</v>
      </c>
      <c r="C1697" s="3" t="str">
        <f ca="1">IFERROR(ROWSDUMMYFUNCTION(IF(A1697="","",IFERROR(IMAGE(CONCATENATE("https://us.pandora.net/on/demandware.static/-/Sites-pandora-master-catalog/default/dwbb259ca6/productimages/singlepackshot/",LEFT(A1697,FIND("-",A1697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7" s="5" t="str">
        <f ca="1">IFERROR(ROWSDUMMYFUNCTION(IF(A1697="","",CONCATENATE("https://us.pandora.net/on/demandware.static/-/Sites-pandora-master-catalog/default/dwbb259ca6/productimages/singlepackshot/",LEFT(A1697,FIND("-",A1697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698" spans="1:4" x14ac:dyDescent="0.25">
      <c r="A1698" s="3" t="s">
        <v>1700</v>
      </c>
      <c r="B1698" s="4">
        <v>79</v>
      </c>
      <c r="C1698" s="3" t="str">
        <f ca="1">IFERROR(ROWSDUMMYFUNCTION(IF(A1698="","",IFERROR(IMAGE(CONCATENATE("https://us.pandora.net/on/demandware.static/-/Sites-pandora-master-catalog/default/dwbb259ca6/productimages/singlepackshot/",LEFT(A1698,FIND("-",A1698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8" s="5" t="str">
        <f ca="1">IFERROR(ROWSDUMMYFUNCTION(IF(A1698="","",CONCATENATE("https://us.pandora.net/on/demandware.static/-/Sites-pandora-master-catalog/default/dwbb259ca6/productimages/singlepackshot/",LEFT(A1698,FIND("-",A1698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699" spans="1:4" x14ac:dyDescent="0.25">
      <c r="A1699" s="3" t="s">
        <v>1701</v>
      </c>
      <c r="B1699" s="4">
        <v>79</v>
      </c>
      <c r="C1699" s="3" t="str">
        <f ca="1">IFERROR(ROWSDUMMYFUNCTION(IF(A1699="","",IFERROR(IMAGE(CONCATENATE("https://us.pandora.net/on/demandware.static/-/Sites-pandora-master-catalog/default/dwbb259ca6/productimages/singlepackshot/",LEFT(A1699,FIND("-",A1699&amp;"-")-1),"_RGB.png")),""))),"{""url"":""https://us.pandora.net/on/demandware.static/-/Sites-pandora-master-catalog/default/dwbb259ca6/productimages/singlepackshot/198289CZ_RGB.png"",""mode"":1}")</f>
        <v>{"url":"https://us.pandora.net/on/demandware.static/-/Sites-pandora-master-catalog/default/dwbb259ca6/productimages/singlepackshot/198289CZ_RGB.png","mode":1}</v>
      </c>
      <c r="D1699" s="5" t="str">
        <f ca="1">IFERROR(ROWSDUMMYFUNCTION(IF(A1699="","",CONCATENATE("https://us.pandora.net/on/demandware.static/-/Sites-pandora-master-catalog/default/dwbb259ca6/productimages/singlepackshot/",LEFT(A1699,FIND("-",A1699&amp;"-")-1),"_RGB.png"))),"https://us.pandora.net/on/demandware.static/-/Sites-pandora-master-catalog/default/dwbb259ca6/productimages/singlepackshot/198289CZ_RGB.png")</f>
        <v>https://us.pandora.net/on/demandware.static/-/Sites-pandora-master-catalog/default/dwbb259ca6/productimages/singlepackshot/198289CZ_RGB.png</v>
      </c>
    </row>
    <row r="1700" spans="1:4" x14ac:dyDescent="0.25">
      <c r="A1700" s="3" t="s">
        <v>1702</v>
      </c>
      <c r="B1700" s="4">
        <v>79</v>
      </c>
      <c r="C1700" s="3" t="str">
        <f ca="1">IFERROR(ROWSDUMMYFUNCTION(IF(A1700="","",IFERROR(IMAGE(CONCATENATE("https://us.pandora.net/on/demandware.static/-/Sites-pandora-master-catalog/default/dwbb259ca6/productimages/singlepackshot/",LEFT(A1700,FIND("-",A1700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0" s="5" t="str">
        <f ca="1">IFERROR(ROWSDUMMYFUNCTION(IF(A1700="","",CONCATENATE("https://us.pandora.net/on/demandware.static/-/Sites-pandora-master-catalog/default/dwbb259ca6/productimages/singlepackshot/",LEFT(A1700,FIND("-",A1700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1" spans="1:4" x14ac:dyDescent="0.25">
      <c r="A1701" s="3" t="s">
        <v>1703</v>
      </c>
      <c r="B1701" s="4">
        <v>79</v>
      </c>
      <c r="C1701" s="3" t="str">
        <f ca="1">IFERROR(ROWSDUMMYFUNCTION(IF(A1701="","",IFERROR(IMAGE(CONCATENATE("https://us.pandora.net/on/demandware.static/-/Sites-pandora-master-catalog/default/dwbb259ca6/productimages/singlepackshot/",LEFT(A1701,FIND("-",A1701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1" s="5" t="str">
        <f ca="1">IFERROR(ROWSDUMMYFUNCTION(IF(A1701="","",CONCATENATE("https://us.pandora.net/on/demandware.static/-/Sites-pandora-master-catalog/default/dwbb259ca6/productimages/singlepackshot/",LEFT(A1701,FIND("-",A1701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2" spans="1:4" x14ac:dyDescent="0.25">
      <c r="A1702" s="3" t="s">
        <v>1704</v>
      </c>
      <c r="B1702" s="4">
        <v>79</v>
      </c>
      <c r="C1702" s="3" t="str">
        <f ca="1">IFERROR(ROWSDUMMYFUNCTION(IF(A1702="","",IFERROR(IMAGE(CONCATENATE("https://us.pandora.net/on/demandware.static/-/Sites-pandora-master-catalog/default/dwbb259ca6/productimages/singlepackshot/",LEFT(A1702,FIND("-",A1702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2" s="5" t="str">
        <f ca="1">IFERROR(ROWSDUMMYFUNCTION(IF(A1702="","",CONCATENATE("https://us.pandora.net/on/demandware.static/-/Sites-pandora-master-catalog/default/dwbb259ca6/productimages/singlepackshot/",LEFT(A1702,FIND("-",A1702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3" spans="1:4" x14ac:dyDescent="0.25">
      <c r="A1703" s="3" t="s">
        <v>1705</v>
      </c>
      <c r="B1703" s="4">
        <v>79</v>
      </c>
      <c r="C1703" s="3" t="str">
        <f ca="1">IFERROR(ROWSDUMMYFUNCTION(IF(A1703="","",IFERROR(IMAGE(CONCATENATE("https://us.pandora.net/on/demandware.static/-/Sites-pandora-master-catalog/default/dwbb259ca6/productimages/singlepackshot/",LEFT(A1703,FIND("-",A1703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3" s="5" t="str">
        <f ca="1">IFERROR(ROWSDUMMYFUNCTION(IF(A1703="","",CONCATENATE("https://us.pandora.net/on/demandware.static/-/Sites-pandora-master-catalog/default/dwbb259ca6/productimages/singlepackshot/",LEFT(A1703,FIND("-",A1703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4" spans="1:4" x14ac:dyDescent="0.25">
      <c r="A1704" s="3" t="s">
        <v>1706</v>
      </c>
      <c r="B1704" s="4">
        <v>79</v>
      </c>
      <c r="C1704" s="3" t="str">
        <f ca="1">IFERROR(ROWSDUMMYFUNCTION(IF(A1704="","",IFERROR(IMAGE(CONCATENATE("https://us.pandora.net/on/demandware.static/-/Sites-pandora-master-catalog/default/dwbb259ca6/productimages/singlepackshot/",LEFT(A1704,FIND("-",A1704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4" s="5" t="str">
        <f ca="1">IFERROR(ROWSDUMMYFUNCTION(IF(A1704="","",CONCATENATE("https://us.pandora.net/on/demandware.static/-/Sites-pandora-master-catalog/default/dwbb259ca6/productimages/singlepackshot/",LEFT(A1704,FIND("-",A1704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5" spans="1:4" x14ac:dyDescent="0.25">
      <c r="A1705" s="3" t="s">
        <v>1707</v>
      </c>
      <c r="B1705" s="4">
        <v>79</v>
      </c>
      <c r="C1705" s="3" t="str">
        <f ca="1">IFERROR(ROWSDUMMYFUNCTION(IF(A1705="","",IFERROR(IMAGE(CONCATENATE("https://us.pandora.net/on/demandware.static/-/Sites-pandora-master-catalog/default/dwbb259ca6/productimages/singlepackshot/",LEFT(A1705,FIND("-",A1705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5" s="5" t="str">
        <f ca="1">IFERROR(ROWSDUMMYFUNCTION(IF(A1705="","",CONCATENATE("https://us.pandora.net/on/demandware.static/-/Sites-pandora-master-catalog/default/dwbb259ca6/productimages/singlepackshot/",LEFT(A1705,FIND("-",A1705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6" spans="1:4" x14ac:dyDescent="0.25">
      <c r="A1706" s="3" t="s">
        <v>1708</v>
      </c>
      <c r="B1706" s="4">
        <v>79</v>
      </c>
      <c r="C1706" s="3" t="str">
        <f ca="1">IFERROR(ROWSDUMMYFUNCTION(IF(A1706="","",IFERROR(IMAGE(CONCATENATE("https://us.pandora.net/on/demandware.static/-/Sites-pandora-master-catalog/default/dwbb259ca6/productimages/singlepackshot/",LEFT(A1706,FIND("-",A1706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6" s="5" t="str">
        <f ca="1">IFERROR(ROWSDUMMYFUNCTION(IF(A1706="","",CONCATENATE("https://us.pandora.net/on/demandware.static/-/Sites-pandora-master-catalog/default/dwbb259ca6/productimages/singlepackshot/",LEFT(A1706,FIND("-",A1706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7" spans="1:4" x14ac:dyDescent="0.25">
      <c r="A1707" s="3" t="s">
        <v>1709</v>
      </c>
      <c r="B1707" s="4">
        <v>79</v>
      </c>
      <c r="C1707" s="3" t="str">
        <f ca="1">IFERROR(ROWSDUMMYFUNCTION(IF(A1707="","",IFERROR(IMAGE(CONCATENATE("https://us.pandora.net/on/demandware.static/-/Sites-pandora-master-catalog/default/dwbb259ca6/productimages/singlepackshot/",LEFT(A1707,FIND("-",A1707&amp;"-")-1),"_RGB.png")),""))),"{""url"":""https://us.pandora.net/on/demandware.static/-/Sites-pandora-master-catalog/default/dwbb259ca6/productimages/singlepackshot/198421C01_RGB.png"",""mode"":1}")</f>
        <v>{"url":"https://us.pandora.net/on/demandware.static/-/Sites-pandora-master-catalog/default/dwbb259ca6/productimages/singlepackshot/198421C01_RGB.png","mode":1}</v>
      </c>
      <c r="D1707" s="5" t="str">
        <f ca="1">IFERROR(ROWSDUMMYFUNCTION(IF(A1707="","",CONCATENATE("https://us.pandora.net/on/demandware.static/-/Sites-pandora-master-catalog/default/dwbb259ca6/productimages/singlepackshot/",LEFT(A1707,FIND("-",A1707&amp;"-")-1),"_RGB.png"))),"https://us.pandora.net/on/demandware.static/-/Sites-pandora-master-catalog/default/dwbb259ca6/productimages/singlepackshot/198421C01_RGB.png")</f>
        <v>https://us.pandora.net/on/demandware.static/-/Sites-pandora-master-catalog/default/dwbb259ca6/productimages/singlepackshot/198421C01_RGB.png</v>
      </c>
    </row>
    <row r="1708" spans="1:4" x14ac:dyDescent="0.25">
      <c r="A1708" s="3" t="s">
        <v>1710</v>
      </c>
      <c r="B1708" s="4">
        <v>79</v>
      </c>
      <c r="C1708" s="3" t="str">
        <f ca="1">IFERROR(ROWSDUMMYFUNCTION(IF(A1708="","",IFERROR(IMAGE(CONCATENATE("https://us.pandora.net/on/demandware.static/-/Sites-pandora-master-catalog/default/dwbb259ca6/productimages/singlepackshot/",LEFT(A1708,FIND("-",A1708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08" s="5" t="str">
        <f ca="1">IFERROR(ROWSDUMMYFUNCTION(IF(A1708="","",CONCATENATE("https://us.pandora.net/on/demandware.static/-/Sites-pandora-master-catalog/default/dwbb259ca6/productimages/singlepackshot/",LEFT(A1708,FIND("-",A1708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09" spans="1:4" x14ac:dyDescent="0.25">
      <c r="A1709" s="3" t="s">
        <v>1711</v>
      </c>
      <c r="B1709" s="4">
        <v>79</v>
      </c>
      <c r="C1709" s="3" t="str">
        <f ca="1">IFERROR(ROWSDUMMYFUNCTION(IF(A1709="","",IFERROR(IMAGE(CONCATENATE("https://us.pandora.net/on/demandware.static/-/Sites-pandora-master-catalog/default/dwbb259ca6/productimages/singlepackshot/",LEFT(A1709,FIND("-",A1709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09" s="5" t="str">
        <f ca="1">IFERROR(ROWSDUMMYFUNCTION(IF(A1709="","",CONCATENATE("https://us.pandora.net/on/demandware.static/-/Sites-pandora-master-catalog/default/dwbb259ca6/productimages/singlepackshot/",LEFT(A1709,FIND("-",A1709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0" spans="1:4" x14ac:dyDescent="0.25">
      <c r="A1710" s="3" t="s">
        <v>1712</v>
      </c>
      <c r="B1710" s="4">
        <v>79</v>
      </c>
      <c r="C1710" s="3" t="str">
        <f ca="1">IFERROR(ROWSDUMMYFUNCTION(IF(A1710="","",IFERROR(IMAGE(CONCATENATE("https://us.pandora.net/on/demandware.static/-/Sites-pandora-master-catalog/default/dwbb259ca6/productimages/singlepackshot/",LEFT(A1710,FIND("-",A1710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10" s="5" t="str">
        <f ca="1">IFERROR(ROWSDUMMYFUNCTION(IF(A1710="","",CONCATENATE("https://us.pandora.net/on/demandware.static/-/Sites-pandora-master-catalog/default/dwbb259ca6/productimages/singlepackshot/",LEFT(A1710,FIND("-",A1710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1" spans="1:4" x14ac:dyDescent="0.25">
      <c r="A1711" s="3" t="s">
        <v>1713</v>
      </c>
      <c r="B1711" s="4">
        <v>79</v>
      </c>
      <c r="C1711" s="3" t="str">
        <f ca="1">IFERROR(ROWSDUMMYFUNCTION(IF(A1711="","",IFERROR(IMAGE(CONCATENATE("https://us.pandora.net/on/demandware.static/-/Sites-pandora-master-catalog/default/dwbb259ca6/productimages/singlepackshot/",LEFT(A1711,FIND("-",A1711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11" s="5" t="str">
        <f ca="1">IFERROR(ROWSDUMMYFUNCTION(IF(A1711="","",CONCATENATE("https://us.pandora.net/on/demandware.static/-/Sites-pandora-master-catalog/default/dwbb259ca6/productimages/singlepackshot/",LEFT(A1711,FIND("-",A1711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2" spans="1:4" x14ac:dyDescent="0.25">
      <c r="A1712" s="3" t="s">
        <v>1714</v>
      </c>
      <c r="B1712" s="4">
        <v>79</v>
      </c>
      <c r="C1712" s="3" t="str">
        <f ca="1">IFERROR(ROWSDUMMYFUNCTION(IF(A1712="","",IFERROR(IMAGE(CONCATENATE("https://us.pandora.net/on/demandware.static/-/Sites-pandora-master-catalog/default/dwbb259ca6/productimages/singlepackshot/",LEFT(A1712,FIND("-",A1712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12" s="5" t="str">
        <f ca="1">IFERROR(ROWSDUMMYFUNCTION(IF(A1712="","",CONCATENATE("https://us.pandora.net/on/demandware.static/-/Sites-pandora-master-catalog/default/dwbb259ca6/productimages/singlepackshot/",LEFT(A1712,FIND("-",A1712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3" spans="1:4" x14ac:dyDescent="0.25">
      <c r="A1713" s="3" t="s">
        <v>1715</v>
      </c>
      <c r="B1713" s="4">
        <v>79</v>
      </c>
      <c r="C1713" s="3" t="str">
        <f ca="1">IFERROR(ROWSDUMMYFUNCTION(IF(A1713="","",IFERROR(IMAGE(CONCATENATE("https://us.pandora.net/on/demandware.static/-/Sites-pandora-master-catalog/default/dwbb259ca6/productimages/singlepackshot/",LEFT(A1713,FIND("-",A1713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13" s="5" t="str">
        <f ca="1">IFERROR(ROWSDUMMYFUNCTION(IF(A1713="","",CONCATENATE("https://us.pandora.net/on/demandware.static/-/Sites-pandora-master-catalog/default/dwbb259ca6/productimages/singlepackshot/",LEFT(A1713,FIND("-",A1713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4" spans="1:4" x14ac:dyDescent="0.25">
      <c r="A1714" s="3" t="s">
        <v>1716</v>
      </c>
      <c r="B1714" s="4">
        <v>79</v>
      </c>
      <c r="C1714" s="3" t="str">
        <f ca="1">IFERROR(ROWSDUMMYFUNCTION(IF(A1714="","",IFERROR(IMAGE(CONCATENATE("https://us.pandora.net/on/demandware.static/-/Sites-pandora-master-catalog/default/dwbb259ca6/productimages/singlepackshot/",LEFT(A1714,FIND("-",A1714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14" s="5" t="str">
        <f ca="1">IFERROR(ROWSDUMMYFUNCTION(IF(A1714="","",CONCATENATE("https://us.pandora.net/on/demandware.static/-/Sites-pandora-master-catalog/default/dwbb259ca6/productimages/singlepackshot/",LEFT(A1714,FIND("-",A1714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5" spans="1:4" x14ac:dyDescent="0.25">
      <c r="A1715" s="3" t="s">
        <v>1717</v>
      </c>
      <c r="B1715" s="4">
        <v>79</v>
      </c>
      <c r="C1715" s="3" t="str">
        <f ca="1">IFERROR(ROWSDUMMYFUNCTION(IF(A1715="","",IFERROR(IMAGE(CONCATENATE("https://us.pandora.net/on/demandware.static/-/Sites-pandora-master-catalog/default/dwbb259ca6/productimages/singlepackshot/",LEFT(A1715,FIND("-",A1715&amp;"-")-1),"_RGB.png")),""))),"{""url"":""https://us.pandora.net/on/demandware.static/-/Sites-pandora-master-catalog/default/dwbb259ca6/productimages/singlepackshot/198421C02_RGB.png"",""mode"":1}")</f>
        <v>{"url":"https://us.pandora.net/on/demandware.static/-/Sites-pandora-master-catalog/default/dwbb259ca6/productimages/singlepackshot/198421C02_RGB.png","mode":1}</v>
      </c>
      <c r="D1715" s="5" t="str">
        <f ca="1">IFERROR(ROWSDUMMYFUNCTION(IF(A1715="","",CONCATENATE("https://us.pandora.net/on/demandware.static/-/Sites-pandora-master-catalog/default/dwbb259ca6/productimages/singlepackshot/",LEFT(A1715,FIND("-",A1715&amp;"-")-1),"_RGB.png"))),"https://us.pandora.net/on/demandware.static/-/Sites-pandora-master-catalog/default/dwbb259ca6/productimages/singlepackshot/198421C02_RGB.png")</f>
        <v>https://us.pandora.net/on/demandware.static/-/Sites-pandora-master-catalog/default/dwbb259ca6/productimages/singlepackshot/198421C02_RGB.png</v>
      </c>
    </row>
    <row r="1716" spans="1:4" x14ac:dyDescent="0.25">
      <c r="A1716" s="3" t="s">
        <v>1718</v>
      </c>
      <c r="B1716" s="4">
        <v>79</v>
      </c>
      <c r="C1716" s="3" t="str">
        <f ca="1">IFERROR(ROWSDUMMYFUNCTION(IF(A1716="","",IFERROR(IMAGE(CONCATENATE("https://us.pandora.net/on/demandware.static/-/Sites-pandora-master-catalog/default/dwbb259ca6/productimages/singlepackshot/",LEFT(A1716,FIND("-",A1716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16" s="5" t="str">
        <f ca="1">IFERROR(ROWSDUMMYFUNCTION(IF(A1716="","",CONCATENATE("https://us.pandora.net/on/demandware.static/-/Sites-pandora-master-catalog/default/dwbb259ca6/productimages/singlepackshot/",LEFT(A1716,FIND("-",A1716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17" spans="1:4" x14ac:dyDescent="0.25">
      <c r="A1717" s="3" t="s">
        <v>1719</v>
      </c>
      <c r="B1717" s="4">
        <v>79</v>
      </c>
      <c r="C1717" s="3" t="str">
        <f ca="1">IFERROR(ROWSDUMMYFUNCTION(IF(A1717="","",IFERROR(IMAGE(CONCATENATE("https://us.pandora.net/on/demandware.static/-/Sites-pandora-master-catalog/default/dwbb259ca6/productimages/singlepackshot/",LEFT(A1717,FIND("-",A1717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17" s="5" t="str">
        <f ca="1">IFERROR(ROWSDUMMYFUNCTION(IF(A1717="","",CONCATENATE("https://us.pandora.net/on/demandware.static/-/Sites-pandora-master-catalog/default/dwbb259ca6/productimages/singlepackshot/",LEFT(A1717,FIND("-",A1717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18" spans="1:4" x14ac:dyDescent="0.25">
      <c r="A1718" s="3" t="s">
        <v>1720</v>
      </c>
      <c r="B1718" s="4">
        <v>79</v>
      </c>
      <c r="C1718" s="3" t="str">
        <f ca="1">IFERROR(ROWSDUMMYFUNCTION(IF(A1718="","",IFERROR(IMAGE(CONCATENATE("https://us.pandora.net/on/demandware.static/-/Sites-pandora-master-catalog/default/dwbb259ca6/productimages/singlepackshot/",LEFT(A1718,FIND("-",A1718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18" s="5" t="str">
        <f ca="1">IFERROR(ROWSDUMMYFUNCTION(IF(A1718="","",CONCATENATE("https://us.pandora.net/on/demandware.static/-/Sites-pandora-master-catalog/default/dwbb259ca6/productimages/singlepackshot/",LEFT(A1718,FIND("-",A1718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19" spans="1:4" x14ac:dyDescent="0.25">
      <c r="A1719" s="3" t="s">
        <v>1721</v>
      </c>
      <c r="B1719" s="4">
        <v>79</v>
      </c>
      <c r="C1719" s="3" t="str">
        <f ca="1">IFERROR(ROWSDUMMYFUNCTION(IF(A1719="","",IFERROR(IMAGE(CONCATENATE("https://us.pandora.net/on/demandware.static/-/Sites-pandora-master-catalog/default/dwbb259ca6/productimages/singlepackshot/",LEFT(A1719,FIND("-",A1719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19" s="5" t="str">
        <f ca="1">IFERROR(ROWSDUMMYFUNCTION(IF(A1719="","",CONCATENATE("https://us.pandora.net/on/demandware.static/-/Sites-pandora-master-catalog/default/dwbb259ca6/productimages/singlepackshot/",LEFT(A1719,FIND("-",A1719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20" spans="1:4" x14ac:dyDescent="0.25">
      <c r="A1720" s="3" t="s">
        <v>1722</v>
      </c>
      <c r="B1720" s="4">
        <v>79</v>
      </c>
      <c r="C1720" s="3" t="str">
        <f ca="1">IFERROR(ROWSDUMMYFUNCTION(IF(A1720="","",IFERROR(IMAGE(CONCATENATE("https://us.pandora.net/on/demandware.static/-/Sites-pandora-master-catalog/default/dwbb259ca6/productimages/singlepackshot/",LEFT(A1720,FIND("-",A1720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20" s="5" t="str">
        <f ca="1">IFERROR(ROWSDUMMYFUNCTION(IF(A1720="","",CONCATENATE("https://us.pandora.net/on/demandware.static/-/Sites-pandora-master-catalog/default/dwbb259ca6/productimages/singlepackshot/",LEFT(A1720,FIND("-",A1720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21" spans="1:4" x14ac:dyDescent="0.25">
      <c r="A1721" s="3" t="s">
        <v>1723</v>
      </c>
      <c r="B1721" s="4">
        <v>79</v>
      </c>
      <c r="C1721" s="3" t="str">
        <f ca="1">IFERROR(ROWSDUMMYFUNCTION(IF(A1721="","",IFERROR(IMAGE(CONCATENATE("https://us.pandora.net/on/demandware.static/-/Sites-pandora-master-catalog/default/dwbb259ca6/productimages/singlepackshot/",LEFT(A1721,FIND("-",A1721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21" s="5" t="str">
        <f ca="1">IFERROR(ROWSDUMMYFUNCTION(IF(A1721="","",CONCATENATE("https://us.pandora.net/on/demandware.static/-/Sites-pandora-master-catalog/default/dwbb259ca6/productimages/singlepackshot/",LEFT(A1721,FIND("-",A1721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22" spans="1:4" x14ac:dyDescent="0.25">
      <c r="A1722" s="3" t="s">
        <v>1724</v>
      </c>
      <c r="B1722" s="4">
        <v>79</v>
      </c>
      <c r="C1722" s="3" t="str">
        <f ca="1">IFERROR(ROWSDUMMYFUNCTION(IF(A1722="","",IFERROR(IMAGE(CONCATENATE("https://us.pandora.net/on/demandware.static/-/Sites-pandora-master-catalog/default/dwbb259ca6/productimages/singlepackshot/",LEFT(A1722,FIND("-",A1722&amp;"-")-1),"_RGB.png")),""))),"{""url"":""https://us.pandora.net/on/demandware.static/-/Sites-pandora-master-catalog/default/dwbb259ca6/productimages/singlepackshot/198421C03_RGB.png"",""mode"":1}")</f>
        <v>{"url":"https://us.pandora.net/on/demandware.static/-/Sites-pandora-master-catalog/default/dwbb259ca6/productimages/singlepackshot/198421C03_RGB.png","mode":1}</v>
      </c>
      <c r="D1722" s="5" t="str">
        <f ca="1">IFERROR(ROWSDUMMYFUNCTION(IF(A1722="","",CONCATENATE("https://us.pandora.net/on/demandware.static/-/Sites-pandora-master-catalog/default/dwbb259ca6/productimages/singlepackshot/",LEFT(A1722,FIND("-",A1722&amp;"-")-1),"_RGB.png"))),"https://us.pandora.net/on/demandware.static/-/Sites-pandora-master-catalog/default/dwbb259ca6/productimages/singlepackshot/198421C03_RGB.png")</f>
        <v>https://us.pandora.net/on/demandware.static/-/Sites-pandora-master-catalog/default/dwbb259ca6/productimages/singlepackshot/198421C03_RGB.png</v>
      </c>
    </row>
    <row r="1723" spans="1:4" x14ac:dyDescent="0.25">
      <c r="A1723" s="3" t="s">
        <v>1725</v>
      </c>
      <c r="B1723" s="4">
        <v>79</v>
      </c>
      <c r="C1723" s="3" t="str">
        <f ca="1">IFERROR(ROWSDUMMYFUNCTION(IF(A1723="","",IFERROR(IMAGE(CONCATENATE("https://us.pandora.net/on/demandware.static/-/Sites-pandora-master-catalog/default/dwbb259ca6/productimages/singlepackshot/",LEFT(A1723,FIND("-",A1723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3" s="5" t="str">
        <f ca="1">IFERROR(ROWSDUMMYFUNCTION(IF(A1723="","",CONCATENATE("https://us.pandora.net/on/demandware.static/-/Sites-pandora-master-catalog/default/dwbb259ca6/productimages/singlepackshot/",LEFT(A1723,FIND("-",A1723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24" spans="1:4" x14ac:dyDescent="0.25">
      <c r="A1724" s="3" t="s">
        <v>1726</v>
      </c>
      <c r="B1724" s="4">
        <v>79</v>
      </c>
      <c r="C1724" s="3" t="str">
        <f ca="1">IFERROR(ROWSDUMMYFUNCTION(IF(A1724="","",IFERROR(IMAGE(CONCATENATE("https://us.pandora.net/on/demandware.static/-/Sites-pandora-master-catalog/default/dwbb259ca6/productimages/singlepackshot/",LEFT(A1724,FIND("-",A1724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4" s="5" t="str">
        <f ca="1">IFERROR(ROWSDUMMYFUNCTION(IF(A1724="","",CONCATENATE("https://us.pandora.net/on/demandware.static/-/Sites-pandora-master-catalog/default/dwbb259ca6/productimages/singlepackshot/",LEFT(A1724,FIND("-",A1724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25" spans="1:4" x14ac:dyDescent="0.25">
      <c r="A1725" s="3" t="s">
        <v>1727</v>
      </c>
      <c r="B1725" s="4">
        <v>79</v>
      </c>
      <c r="C1725" s="3" t="str">
        <f ca="1">IFERROR(ROWSDUMMYFUNCTION(IF(A1725="","",IFERROR(IMAGE(CONCATENATE("https://us.pandora.net/on/demandware.static/-/Sites-pandora-master-catalog/default/dwbb259ca6/productimages/singlepackshot/",LEFT(A1725,FIND("-",A1725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5" s="5" t="str">
        <f ca="1">IFERROR(ROWSDUMMYFUNCTION(IF(A1725="","",CONCATENATE("https://us.pandora.net/on/demandware.static/-/Sites-pandora-master-catalog/default/dwbb259ca6/productimages/singlepackshot/",LEFT(A1725,FIND("-",A1725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26" spans="1:4" x14ac:dyDescent="0.25">
      <c r="A1726" s="3" t="s">
        <v>1728</v>
      </c>
      <c r="B1726" s="4">
        <v>79</v>
      </c>
      <c r="C1726" s="3" t="str">
        <f ca="1">IFERROR(ROWSDUMMYFUNCTION(IF(A1726="","",IFERROR(IMAGE(CONCATENATE("https://us.pandora.net/on/demandware.static/-/Sites-pandora-master-catalog/default/dwbb259ca6/productimages/singlepackshot/",LEFT(A1726,FIND("-",A1726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6" s="5" t="str">
        <f ca="1">IFERROR(ROWSDUMMYFUNCTION(IF(A1726="","",CONCATENATE("https://us.pandora.net/on/demandware.static/-/Sites-pandora-master-catalog/default/dwbb259ca6/productimages/singlepackshot/",LEFT(A1726,FIND("-",A1726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27" spans="1:4" x14ac:dyDescent="0.25">
      <c r="A1727" s="3" t="s">
        <v>1729</v>
      </c>
      <c r="B1727" s="4">
        <v>79</v>
      </c>
      <c r="C1727" s="3" t="str">
        <f ca="1">IFERROR(ROWSDUMMYFUNCTION(IF(A1727="","",IFERROR(IMAGE(CONCATENATE("https://us.pandora.net/on/demandware.static/-/Sites-pandora-master-catalog/default/dwbb259ca6/productimages/singlepackshot/",LEFT(A1727,FIND("-",A1727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7" s="5" t="str">
        <f ca="1">IFERROR(ROWSDUMMYFUNCTION(IF(A1727="","",CONCATENATE("https://us.pandora.net/on/demandware.static/-/Sites-pandora-master-catalog/default/dwbb259ca6/productimages/singlepackshot/",LEFT(A1727,FIND("-",A1727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28" spans="1:4" x14ac:dyDescent="0.25">
      <c r="A1728" s="3" t="s">
        <v>1730</v>
      </c>
      <c r="B1728" s="4">
        <v>79</v>
      </c>
      <c r="C1728" s="3" t="str">
        <f ca="1">IFERROR(ROWSDUMMYFUNCTION(IF(A1728="","",IFERROR(IMAGE(CONCATENATE("https://us.pandora.net/on/demandware.static/-/Sites-pandora-master-catalog/default/dwbb259ca6/productimages/singlepackshot/",LEFT(A1728,FIND("-",A1728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8" s="5" t="str">
        <f ca="1">IFERROR(ROWSDUMMYFUNCTION(IF(A1728="","",CONCATENATE("https://us.pandora.net/on/demandware.static/-/Sites-pandora-master-catalog/default/dwbb259ca6/productimages/singlepackshot/",LEFT(A1728,FIND("-",A1728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29" spans="1:4" x14ac:dyDescent="0.25">
      <c r="A1729" s="3" t="s">
        <v>1731</v>
      </c>
      <c r="B1729" s="4">
        <v>79</v>
      </c>
      <c r="C1729" s="3" t="str">
        <f ca="1">IFERROR(ROWSDUMMYFUNCTION(IF(A1729="","",IFERROR(IMAGE(CONCATENATE("https://us.pandora.net/on/demandware.static/-/Sites-pandora-master-catalog/default/dwbb259ca6/productimages/singlepackshot/",LEFT(A1729,FIND("-",A1729&amp;"-")-1),"_RGB.png")),""))),"{""url"":""https://us.pandora.net/on/demandware.static/-/Sites-pandora-master-catalog/default/dwbb259ca6/productimages/singlepackshot/198421C04_RGB.png"",""mode"":1}")</f>
        <v>{"url":"https://us.pandora.net/on/demandware.static/-/Sites-pandora-master-catalog/default/dwbb259ca6/productimages/singlepackshot/198421C04_RGB.png","mode":1}</v>
      </c>
      <c r="D1729" s="5" t="str">
        <f ca="1">IFERROR(ROWSDUMMYFUNCTION(IF(A1729="","",CONCATENATE("https://us.pandora.net/on/demandware.static/-/Sites-pandora-master-catalog/default/dwbb259ca6/productimages/singlepackshot/",LEFT(A1729,FIND("-",A1729&amp;"-")-1),"_RGB.png"))),"https://us.pandora.net/on/demandware.static/-/Sites-pandora-master-catalog/default/dwbb259ca6/productimages/singlepackshot/198421C04_RGB.png")</f>
        <v>https://us.pandora.net/on/demandware.static/-/Sites-pandora-master-catalog/default/dwbb259ca6/productimages/singlepackshot/198421C04_RGB.png</v>
      </c>
    </row>
    <row r="1730" spans="1:4" x14ac:dyDescent="0.25">
      <c r="A1730" s="3" t="s">
        <v>1732</v>
      </c>
      <c r="B1730" s="4">
        <v>79</v>
      </c>
      <c r="C1730" s="3" t="str">
        <f ca="1">IFERROR(ROWSDUMMYFUNCTION(IF(A1730="","",IFERROR(IMAGE(CONCATENATE("https://us.pandora.net/on/demandware.static/-/Sites-pandora-master-catalog/default/dwbb259ca6/productimages/singlepackshot/",LEFT(A1730,FIND("-",A1730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0" s="5" t="str">
        <f ca="1">IFERROR(ROWSDUMMYFUNCTION(IF(A1730="","",CONCATENATE("https://us.pandora.net/on/demandware.static/-/Sites-pandora-master-catalog/default/dwbb259ca6/productimages/singlepackshot/",LEFT(A1730,FIND("-",A1730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1" spans="1:4" x14ac:dyDescent="0.25">
      <c r="A1731" s="3" t="s">
        <v>1733</v>
      </c>
      <c r="B1731" s="4">
        <v>79</v>
      </c>
      <c r="C1731" s="3" t="str">
        <f ca="1">IFERROR(ROWSDUMMYFUNCTION(IF(A1731="","",IFERROR(IMAGE(CONCATENATE("https://us.pandora.net/on/demandware.static/-/Sites-pandora-master-catalog/default/dwbb259ca6/productimages/singlepackshot/",LEFT(A1731,FIND("-",A1731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1" s="5" t="str">
        <f ca="1">IFERROR(ROWSDUMMYFUNCTION(IF(A1731="","",CONCATENATE("https://us.pandora.net/on/demandware.static/-/Sites-pandora-master-catalog/default/dwbb259ca6/productimages/singlepackshot/",LEFT(A1731,FIND("-",A1731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2" spans="1:4" x14ac:dyDescent="0.25">
      <c r="A1732" s="3" t="s">
        <v>1734</v>
      </c>
      <c r="B1732" s="4">
        <v>79</v>
      </c>
      <c r="C1732" s="3" t="str">
        <f ca="1">IFERROR(ROWSDUMMYFUNCTION(IF(A1732="","",IFERROR(IMAGE(CONCATENATE("https://us.pandora.net/on/demandware.static/-/Sites-pandora-master-catalog/default/dwbb259ca6/productimages/singlepackshot/",LEFT(A1732,FIND("-",A1732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2" s="5" t="str">
        <f ca="1">IFERROR(ROWSDUMMYFUNCTION(IF(A1732="","",CONCATENATE("https://us.pandora.net/on/demandware.static/-/Sites-pandora-master-catalog/default/dwbb259ca6/productimages/singlepackshot/",LEFT(A1732,FIND("-",A1732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3" spans="1:4" x14ac:dyDescent="0.25">
      <c r="A1733" s="3" t="s">
        <v>1735</v>
      </c>
      <c r="B1733" s="4">
        <v>79</v>
      </c>
      <c r="C1733" s="3" t="str">
        <f ca="1">IFERROR(ROWSDUMMYFUNCTION(IF(A1733="","",IFERROR(IMAGE(CONCATENATE("https://us.pandora.net/on/demandware.static/-/Sites-pandora-master-catalog/default/dwbb259ca6/productimages/singlepackshot/",LEFT(A1733,FIND("-",A1733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3" s="5" t="str">
        <f ca="1">IFERROR(ROWSDUMMYFUNCTION(IF(A1733="","",CONCATENATE("https://us.pandora.net/on/demandware.static/-/Sites-pandora-master-catalog/default/dwbb259ca6/productimages/singlepackshot/",LEFT(A1733,FIND("-",A1733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4" spans="1:4" x14ac:dyDescent="0.25">
      <c r="A1734" s="3" t="s">
        <v>1736</v>
      </c>
      <c r="B1734" s="4">
        <v>79</v>
      </c>
      <c r="C1734" s="3" t="str">
        <f ca="1">IFERROR(ROWSDUMMYFUNCTION(IF(A1734="","",IFERROR(IMAGE(CONCATENATE("https://us.pandora.net/on/demandware.static/-/Sites-pandora-master-catalog/default/dwbb259ca6/productimages/singlepackshot/",LEFT(A1734,FIND("-",A1734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4" s="5" t="str">
        <f ca="1">IFERROR(ROWSDUMMYFUNCTION(IF(A1734="","",CONCATENATE("https://us.pandora.net/on/demandware.static/-/Sites-pandora-master-catalog/default/dwbb259ca6/productimages/singlepackshot/",LEFT(A1734,FIND("-",A1734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5" spans="1:4" x14ac:dyDescent="0.25">
      <c r="A1735" s="3" t="s">
        <v>1737</v>
      </c>
      <c r="B1735" s="4">
        <v>79</v>
      </c>
      <c r="C1735" s="3" t="str">
        <f ca="1">IFERROR(ROWSDUMMYFUNCTION(IF(A1735="","",IFERROR(IMAGE(CONCATENATE("https://us.pandora.net/on/demandware.static/-/Sites-pandora-master-catalog/default/dwbb259ca6/productimages/singlepackshot/",LEFT(A1735,FIND("-",A1735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5" s="5" t="str">
        <f ca="1">IFERROR(ROWSDUMMYFUNCTION(IF(A1735="","",CONCATENATE("https://us.pandora.net/on/demandware.static/-/Sites-pandora-master-catalog/default/dwbb259ca6/productimages/singlepackshot/",LEFT(A1735,FIND("-",A1735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6" spans="1:4" x14ac:dyDescent="0.25">
      <c r="A1736" s="3" t="s">
        <v>1738</v>
      </c>
      <c r="B1736" s="4">
        <v>79</v>
      </c>
      <c r="C1736" s="3" t="str">
        <f ca="1">IFERROR(ROWSDUMMYFUNCTION(IF(A1736="","",IFERROR(IMAGE(CONCATENATE("https://us.pandora.net/on/demandware.static/-/Sites-pandora-master-catalog/default/dwbb259ca6/productimages/singlepackshot/",LEFT(A1736,FIND("-",A1736&amp;"-")-1),"_RGB.png")),""))),"{""url"":""https://us.pandora.net/on/demandware.static/-/Sites-pandora-master-catalog/default/dwbb259ca6/productimages/singlepackshot/198421C05_RGB.png"",""mode"":1}")</f>
        <v>{"url":"https://us.pandora.net/on/demandware.static/-/Sites-pandora-master-catalog/default/dwbb259ca6/productimages/singlepackshot/198421C05_RGB.png","mode":1}</v>
      </c>
      <c r="D1736" s="5" t="str">
        <f ca="1">IFERROR(ROWSDUMMYFUNCTION(IF(A1736="","",CONCATENATE("https://us.pandora.net/on/demandware.static/-/Sites-pandora-master-catalog/default/dwbb259ca6/productimages/singlepackshot/",LEFT(A1736,FIND("-",A1736&amp;"-")-1),"_RGB.png"))),"https://us.pandora.net/on/demandware.static/-/Sites-pandora-master-catalog/default/dwbb259ca6/productimages/singlepackshot/198421C05_RGB.png")</f>
        <v>https://us.pandora.net/on/demandware.static/-/Sites-pandora-master-catalog/default/dwbb259ca6/productimages/singlepackshot/198421C05_RGB.png</v>
      </c>
    </row>
    <row r="1737" spans="1:4" x14ac:dyDescent="0.25">
      <c r="A1737" s="3" t="s">
        <v>1739</v>
      </c>
      <c r="B1737" s="4">
        <v>79</v>
      </c>
      <c r="C1737" s="3" t="str">
        <f ca="1">IFERROR(ROWSDUMMYFUNCTION(IF(A1737="","",IFERROR(IMAGE(CONCATENATE("https://us.pandora.net/on/demandware.static/-/Sites-pandora-master-catalog/default/dwbb259ca6/productimages/singlepackshot/",LEFT(A1737,FIND("-",A1737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37" s="5" t="str">
        <f ca="1">IFERROR(ROWSDUMMYFUNCTION(IF(A1737="","",CONCATENATE("https://us.pandora.net/on/demandware.static/-/Sites-pandora-master-catalog/default/dwbb259ca6/productimages/singlepackshot/",LEFT(A1737,FIND("-",A1737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38" spans="1:4" x14ac:dyDescent="0.25">
      <c r="A1738" s="3" t="s">
        <v>1740</v>
      </c>
      <c r="B1738" s="4">
        <v>79</v>
      </c>
      <c r="C1738" s="3" t="str">
        <f ca="1">IFERROR(ROWSDUMMYFUNCTION(IF(A1738="","",IFERROR(IMAGE(CONCATENATE("https://us.pandora.net/on/demandware.static/-/Sites-pandora-master-catalog/default/dwbb259ca6/productimages/singlepackshot/",LEFT(A1738,FIND("-",A1738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38" s="5" t="str">
        <f ca="1">IFERROR(ROWSDUMMYFUNCTION(IF(A1738="","",CONCATENATE("https://us.pandora.net/on/demandware.static/-/Sites-pandora-master-catalog/default/dwbb259ca6/productimages/singlepackshot/",LEFT(A1738,FIND("-",A1738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39" spans="1:4" x14ac:dyDescent="0.25">
      <c r="A1739" s="3" t="s">
        <v>1741</v>
      </c>
      <c r="B1739" s="4">
        <v>79</v>
      </c>
      <c r="C1739" s="3" t="str">
        <f ca="1">IFERROR(ROWSDUMMYFUNCTION(IF(A1739="","",IFERROR(IMAGE(CONCATENATE("https://us.pandora.net/on/demandware.static/-/Sites-pandora-master-catalog/default/dwbb259ca6/productimages/singlepackshot/",LEFT(A1739,FIND("-",A1739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39" s="5" t="str">
        <f ca="1">IFERROR(ROWSDUMMYFUNCTION(IF(A1739="","",CONCATENATE("https://us.pandora.net/on/demandware.static/-/Sites-pandora-master-catalog/default/dwbb259ca6/productimages/singlepackshot/",LEFT(A1739,FIND("-",A1739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40" spans="1:4" x14ac:dyDescent="0.25">
      <c r="A1740" s="3" t="s">
        <v>1742</v>
      </c>
      <c r="B1740" s="4">
        <v>79</v>
      </c>
      <c r="C1740" s="3" t="str">
        <f ca="1">IFERROR(ROWSDUMMYFUNCTION(IF(A1740="","",IFERROR(IMAGE(CONCATENATE("https://us.pandora.net/on/demandware.static/-/Sites-pandora-master-catalog/default/dwbb259ca6/productimages/singlepackshot/",LEFT(A1740,FIND("-",A1740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40" s="5" t="str">
        <f ca="1">IFERROR(ROWSDUMMYFUNCTION(IF(A1740="","",CONCATENATE("https://us.pandora.net/on/demandware.static/-/Sites-pandora-master-catalog/default/dwbb259ca6/productimages/singlepackshot/",LEFT(A1740,FIND("-",A1740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41" spans="1:4" x14ac:dyDescent="0.25">
      <c r="A1741" s="3" t="s">
        <v>1743</v>
      </c>
      <c r="B1741" s="4">
        <v>79</v>
      </c>
      <c r="C1741" s="3" t="str">
        <f ca="1">IFERROR(ROWSDUMMYFUNCTION(IF(A1741="","",IFERROR(IMAGE(CONCATENATE("https://us.pandora.net/on/demandware.static/-/Sites-pandora-master-catalog/default/dwbb259ca6/productimages/singlepackshot/",LEFT(A1741,FIND("-",A1741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41" s="5" t="str">
        <f ca="1">IFERROR(ROWSDUMMYFUNCTION(IF(A1741="","",CONCATENATE("https://us.pandora.net/on/demandware.static/-/Sites-pandora-master-catalog/default/dwbb259ca6/productimages/singlepackshot/",LEFT(A1741,FIND("-",A1741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42" spans="1:4" x14ac:dyDescent="0.25">
      <c r="A1742" s="3" t="s">
        <v>1744</v>
      </c>
      <c r="B1742" s="4">
        <v>79</v>
      </c>
      <c r="C1742" s="3" t="str">
        <f ca="1">IFERROR(ROWSDUMMYFUNCTION(IF(A1742="","",IFERROR(IMAGE(CONCATENATE("https://us.pandora.net/on/demandware.static/-/Sites-pandora-master-catalog/default/dwbb259ca6/productimages/singlepackshot/",LEFT(A1742,FIND("-",A1742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42" s="5" t="str">
        <f ca="1">IFERROR(ROWSDUMMYFUNCTION(IF(A1742="","",CONCATENATE("https://us.pandora.net/on/demandware.static/-/Sites-pandora-master-catalog/default/dwbb259ca6/productimages/singlepackshot/",LEFT(A1742,FIND("-",A1742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43" spans="1:4" x14ac:dyDescent="0.25">
      <c r="A1743" s="3" t="s">
        <v>1745</v>
      </c>
      <c r="B1743" s="4">
        <v>79</v>
      </c>
      <c r="C1743" s="3" t="str">
        <f ca="1">IFERROR(ROWSDUMMYFUNCTION(IF(A1743="","",IFERROR(IMAGE(CONCATENATE("https://us.pandora.net/on/demandware.static/-/Sites-pandora-master-catalog/default/dwbb259ca6/productimages/singlepackshot/",LEFT(A1743,FIND("-",A1743&amp;"-")-1),"_RGB.png")),""))),"{""url"":""https://us.pandora.net/on/demandware.static/-/Sites-pandora-master-catalog/default/dwbb259ca6/productimages/singlepackshot/198421C06_RGB.png"",""mode"":1}")</f>
        <v>{"url":"https://us.pandora.net/on/demandware.static/-/Sites-pandora-master-catalog/default/dwbb259ca6/productimages/singlepackshot/198421C06_RGB.png","mode":1}</v>
      </c>
      <c r="D1743" s="5" t="str">
        <f ca="1">IFERROR(ROWSDUMMYFUNCTION(IF(A1743="","",CONCATENATE("https://us.pandora.net/on/demandware.static/-/Sites-pandora-master-catalog/default/dwbb259ca6/productimages/singlepackshot/",LEFT(A1743,FIND("-",A1743&amp;"-")-1),"_RGB.png"))),"https://us.pandora.net/on/demandware.static/-/Sites-pandora-master-catalog/default/dwbb259ca6/productimages/singlepackshot/198421C06_RGB.png")</f>
        <v>https://us.pandora.net/on/demandware.static/-/Sites-pandora-master-catalog/default/dwbb259ca6/productimages/singlepackshot/198421C06_RGB.png</v>
      </c>
    </row>
    <row r="1744" spans="1:4" x14ac:dyDescent="0.25">
      <c r="A1744" s="3" t="s">
        <v>1746</v>
      </c>
      <c r="B1744" s="4">
        <v>49</v>
      </c>
      <c r="C1744" s="3" t="str">
        <f ca="1">IFERROR(ROWSDUMMYFUNCTION(IF(A1744="","",IFERROR(IMAGE(CONCATENATE("https://us.pandora.net/on/demandware.static/-/Sites-pandora-master-catalog/default/dwbb259ca6/productimages/singlepackshot/",LEFT(A1744,FIND("-",A1744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44" s="5" t="str">
        <f ca="1">IFERROR(ROWSDUMMYFUNCTION(IF(A1744="","",CONCATENATE("https://us.pandora.net/on/demandware.static/-/Sites-pandora-master-catalog/default/dwbb259ca6/productimages/singlepackshot/",LEFT(A1744,FIND("-",A1744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45" spans="1:4" x14ac:dyDescent="0.25">
      <c r="A1745" s="3" t="s">
        <v>1747</v>
      </c>
      <c r="B1745" s="4">
        <v>49</v>
      </c>
      <c r="C1745" s="3" t="str">
        <f ca="1">IFERROR(ROWSDUMMYFUNCTION(IF(A1745="","",IFERROR(IMAGE(CONCATENATE("https://us.pandora.net/on/demandware.static/-/Sites-pandora-master-catalog/default/dwbb259ca6/productimages/singlepackshot/",LEFT(A1745,FIND("-",A1745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45" s="5" t="str">
        <f ca="1">IFERROR(ROWSDUMMYFUNCTION(IF(A1745="","",CONCATENATE("https://us.pandora.net/on/demandware.static/-/Sites-pandora-master-catalog/default/dwbb259ca6/productimages/singlepackshot/",LEFT(A1745,FIND("-",A1745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46" spans="1:4" x14ac:dyDescent="0.25">
      <c r="A1746" s="3" t="s">
        <v>1748</v>
      </c>
      <c r="B1746" s="4">
        <v>49</v>
      </c>
      <c r="C1746" s="3" t="str">
        <f ca="1">IFERROR(ROWSDUMMYFUNCTION(IF(A1746="","",IFERROR(IMAGE(CONCATENATE("https://us.pandora.net/on/demandware.static/-/Sites-pandora-master-catalog/default/dwbb259ca6/productimages/singlepackshot/",LEFT(A1746,FIND("-",A1746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46" s="5" t="str">
        <f ca="1">IFERROR(ROWSDUMMYFUNCTION(IF(A1746="","",CONCATENATE("https://us.pandora.net/on/demandware.static/-/Sites-pandora-master-catalog/default/dwbb259ca6/productimages/singlepackshot/",LEFT(A1746,FIND("-",A1746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47" spans="1:4" x14ac:dyDescent="0.25">
      <c r="A1747" s="3" t="s">
        <v>1749</v>
      </c>
      <c r="B1747" s="4">
        <v>49</v>
      </c>
      <c r="C1747" s="3" t="str">
        <f ca="1">IFERROR(ROWSDUMMYFUNCTION(IF(A1747="","",IFERROR(IMAGE(CONCATENATE("https://us.pandora.net/on/demandware.static/-/Sites-pandora-master-catalog/default/dwbb259ca6/productimages/singlepackshot/",LEFT(A1747,FIND("-",A1747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47" s="5" t="str">
        <f ca="1">IFERROR(ROWSDUMMYFUNCTION(IF(A1747="","",CONCATENATE("https://us.pandora.net/on/demandware.static/-/Sites-pandora-master-catalog/default/dwbb259ca6/productimages/singlepackshot/",LEFT(A1747,FIND("-",A1747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48" spans="1:4" x14ac:dyDescent="0.25">
      <c r="A1748" s="3" t="s">
        <v>1750</v>
      </c>
      <c r="B1748" s="4">
        <v>49</v>
      </c>
      <c r="C1748" s="3" t="str">
        <f ca="1">IFERROR(ROWSDUMMYFUNCTION(IF(A1748="","",IFERROR(IMAGE(CONCATENATE("https://us.pandora.net/on/demandware.static/-/Sites-pandora-master-catalog/default/dwbb259ca6/productimages/singlepackshot/",LEFT(A1748,FIND("-",A1748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48" s="5" t="str">
        <f ca="1">IFERROR(ROWSDUMMYFUNCTION(IF(A1748="","",CONCATENATE("https://us.pandora.net/on/demandware.static/-/Sites-pandora-master-catalog/default/dwbb259ca6/productimages/singlepackshot/",LEFT(A1748,FIND("-",A1748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49" spans="1:4" x14ac:dyDescent="0.25">
      <c r="A1749" s="3" t="s">
        <v>1751</v>
      </c>
      <c r="B1749" s="4">
        <v>49</v>
      </c>
      <c r="C1749" s="3" t="str">
        <f ca="1">IFERROR(ROWSDUMMYFUNCTION(IF(A1749="","",IFERROR(IMAGE(CONCATENATE("https://us.pandora.net/on/demandware.static/-/Sites-pandora-master-catalog/default/dwbb259ca6/productimages/singlepackshot/",LEFT(A1749,FIND("-",A1749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49" s="5" t="str">
        <f ca="1">IFERROR(ROWSDUMMYFUNCTION(IF(A1749="","",CONCATENATE("https://us.pandora.net/on/demandware.static/-/Sites-pandora-master-catalog/default/dwbb259ca6/productimages/singlepackshot/",LEFT(A1749,FIND("-",A1749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50" spans="1:4" x14ac:dyDescent="0.25">
      <c r="A1750" s="3" t="s">
        <v>1752</v>
      </c>
      <c r="B1750" s="4">
        <v>49</v>
      </c>
      <c r="C1750" s="3" t="str">
        <f ca="1">IFERROR(ROWSDUMMYFUNCTION(IF(A1750="","",IFERROR(IMAGE(CONCATENATE("https://us.pandora.net/on/demandware.static/-/Sites-pandora-master-catalog/default/dwbb259ca6/productimages/singlepackshot/",LEFT(A1750,FIND("-",A1750&amp;"-")-1),"_RGB.png")),""))),"{""url"":""https://us.pandora.net/on/demandware.static/-/Sites-pandora-master-catalog/default/dwbb259ca6/productimages/singlepackshot/198492C01_RGB.png"",""mode"":1}")</f>
        <v>{"url":"https://us.pandora.net/on/demandware.static/-/Sites-pandora-master-catalog/default/dwbb259ca6/productimages/singlepackshot/198492C01_RGB.png","mode":1}</v>
      </c>
      <c r="D1750" s="5" t="str">
        <f ca="1">IFERROR(ROWSDUMMYFUNCTION(IF(A1750="","",CONCATENATE("https://us.pandora.net/on/demandware.static/-/Sites-pandora-master-catalog/default/dwbb259ca6/productimages/singlepackshot/",LEFT(A1750,FIND("-",A1750&amp;"-")-1),"_RGB.png"))),"https://us.pandora.net/on/demandware.static/-/Sites-pandora-master-catalog/default/dwbb259ca6/productimages/singlepackshot/198492C01_RGB.png")</f>
        <v>https://us.pandora.net/on/demandware.static/-/Sites-pandora-master-catalog/default/dwbb259ca6/productimages/singlepackshot/198492C01_RGB.png</v>
      </c>
    </row>
    <row r="1751" spans="1:4" x14ac:dyDescent="0.25">
      <c r="A1751" s="3" t="s">
        <v>1753</v>
      </c>
      <c r="B1751" s="4">
        <v>49</v>
      </c>
      <c r="C1751" s="3" t="str">
        <f ca="1">IFERROR(ROWSDUMMYFUNCTION(IF(A1751="","",IFERROR(IMAGE(CONCATENATE("https://us.pandora.net/on/demandware.static/-/Sites-pandora-master-catalog/default/dwbb259ca6/productimages/singlepackshot/",LEFT(A1751,FIND("-",A1751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1" s="5" t="str">
        <f ca="1">IFERROR(ROWSDUMMYFUNCTION(IF(A1751="","",CONCATENATE("https://us.pandora.net/on/demandware.static/-/Sites-pandora-master-catalog/default/dwbb259ca6/productimages/singlepackshot/",LEFT(A1751,FIND("-",A1751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2" spans="1:4" x14ac:dyDescent="0.25">
      <c r="A1752" s="3" t="s">
        <v>1754</v>
      </c>
      <c r="B1752" s="4">
        <v>49</v>
      </c>
      <c r="C1752" s="3" t="str">
        <f ca="1">IFERROR(ROWSDUMMYFUNCTION(IF(A1752="","",IFERROR(IMAGE(CONCATENATE("https://us.pandora.net/on/demandware.static/-/Sites-pandora-master-catalog/default/dwbb259ca6/productimages/singlepackshot/",LEFT(A1752,FIND("-",A1752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2" s="5" t="str">
        <f ca="1">IFERROR(ROWSDUMMYFUNCTION(IF(A1752="","",CONCATENATE("https://us.pandora.net/on/demandware.static/-/Sites-pandora-master-catalog/default/dwbb259ca6/productimages/singlepackshot/",LEFT(A1752,FIND("-",A1752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3" spans="1:4" x14ac:dyDescent="0.25">
      <c r="A1753" s="3" t="s">
        <v>1755</v>
      </c>
      <c r="B1753" s="4">
        <v>49</v>
      </c>
      <c r="C1753" s="3" t="str">
        <f ca="1">IFERROR(ROWSDUMMYFUNCTION(IF(A1753="","",IFERROR(IMAGE(CONCATENATE("https://us.pandora.net/on/demandware.static/-/Sites-pandora-master-catalog/default/dwbb259ca6/productimages/singlepackshot/",LEFT(A1753,FIND("-",A1753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3" s="5" t="str">
        <f ca="1">IFERROR(ROWSDUMMYFUNCTION(IF(A1753="","",CONCATENATE("https://us.pandora.net/on/demandware.static/-/Sites-pandora-master-catalog/default/dwbb259ca6/productimages/singlepackshot/",LEFT(A1753,FIND("-",A1753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4" spans="1:4" x14ac:dyDescent="0.25">
      <c r="A1754" s="3" t="s">
        <v>1756</v>
      </c>
      <c r="B1754" s="4">
        <v>49</v>
      </c>
      <c r="C1754" s="3" t="str">
        <f ca="1">IFERROR(ROWSDUMMYFUNCTION(IF(A1754="","",IFERROR(IMAGE(CONCATENATE("https://us.pandora.net/on/demandware.static/-/Sites-pandora-master-catalog/default/dwbb259ca6/productimages/singlepackshot/",LEFT(A1754,FIND("-",A1754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4" s="5" t="str">
        <f ca="1">IFERROR(ROWSDUMMYFUNCTION(IF(A1754="","",CONCATENATE("https://us.pandora.net/on/demandware.static/-/Sites-pandora-master-catalog/default/dwbb259ca6/productimages/singlepackshot/",LEFT(A1754,FIND("-",A1754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5" spans="1:4" x14ac:dyDescent="0.25">
      <c r="A1755" s="3" t="s">
        <v>1757</v>
      </c>
      <c r="B1755" s="4">
        <v>49</v>
      </c>
      <c r="C1755" s="3" t="str">
        <f ca="1">IFERROR(ROWSDUMMYFUNCTION(IF(A1755="","",IFERROR(IMAGE(CONCATENATE("https://us.pandora.net/on/demandware.static/-/Sites-pandora-master-catalog/default/dwbb259ca6/productimages/singlepackshot/",LEFT(A1755,FIND("-",A1755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5" s="5" t="str">
        <f ca="1">IFERROR(ROWSDUMMYFUNCTION(IF(A1755="","",CONCATENATE("https://us.pandora.net/on/demandware.static/-/Sites-pandora-master-catalog/default/dwbb259ca6/productimages/singlepackshot/",LEFT(A1755,FIND("-",A1755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6" spans="1:4" x14ac:dyDescent="0.25">
      <c r="A1756" s="3" t="s">
        <v>1758</v>
      </c>
      <c r="B1756" s="4">
        <v>49</v>
      </c>
      <c r="C1756" s="3" t="str">
        <f ca="1">IFERROR(ROWSDUMMYFUNCTION(IF(A1756="","",IFERROR(IMAGE(CONCATENATE("https://us.pandora.net/on/demandware.static/-/Sites-pandora-master-catalog/default/dwbb259ca6/productimages/singlepackshot/",LEFT(A1756,FIND("-",A1756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6" s="5" t="str">
        <f ca="1">IFERROR(ROWSDUMMYFUNCTION(IF(A1756="","",CONCATENATE("https://us.pandora.net/on/demandware.static/-/Sites-pandora-master-catalog/default/dwbb259ca6/productimages/singlepackshot/",LEFT(A1756,FIND("-",A1756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7" spans="1:4" x14ac:dyDescent="0.25">
      <c r="A1757" s="3" t="s">
        <v>1759</v>
      </c>
      <c r="B1757" s="4">
        <v>49</v>
      </c>
      <c r="C1757" s="3" t="str">
        <f ca="1">IFERROR(ROWSDUMMYFUNCTION(IF(A1757="","",IFERROR(IMAGE(CONCATENATE("https://us.pandora.net/on/demandware.static/-/Sites-pandora-master-catalog/default/dwbb259ca6/productimages/singlepackshot/",LEFT(A1757,FIND("-",A1757&amp;"-")-1),"_RGB.png")),""))),"{""url"":""https://us.pandora.net/on/demandware.static/-/Sites-pandora-master-catalog/default/dwbb259ca6/productimages/singlepackshot/198691C01_RGB.png"",""mode"":1}")</f>
        <v>{"url":"https://us.pandora.net/on/demandware.static/-/Sites-pandora-master-catalog/default/dwbb259ca6/productimages/singlepackshot/198691C01_RGB.png","mode":1}</v>
      </c>
      <c r="D1757" s="5" t="str">
        <f ca="1">IFERROR(ROWSDUMMYFUNCTION(IF(A1757="","",CONCATENATE("https://us.pandora.net/on/demandware.static/-/Sites-pandora-master-catalog/default/dwbb259ca6/productimages/singlepackshot/",LEFT(A1757,FIND("-",A1757&amp;"-")-1),"_RGB.png"))),"https://us.pandora.net/on/demandware.static/-/Sites-pandora-master-catalog/default/dwbb259ca6/productimages/singlepackshot/198691C01_RGB.png")</f>
        <v>https://us.pandora.net/on/demandware.static/-/Sites-pandora-master-catalog/default/dwbb259ca6/productimages/singlepackshot/198691C01_RGB.png</v>
      </c>
    </row>
    <row r="1758" spans="1:4" x14ac:dyDescent="0.25">
      <c r="A1758" s="3" t="s">
        <v>1760</v>
      </c>
      <c r="B1758" s="4">
        <v>79</v>
      </c>
      <c r="C1758" s="3" t="str">
        <f ca="1">IFERROR(ROWSDUMMYFUNCTION(IF(A1758="","",IFERROR(IMAGE(CONCATENATE("https://us.pandora.net/on/demandware.static/-/Sites-pandora-master-catalog/default/dwbb259ca6/productimages/singlepackshot/",LEFT(A1758,FIND("-",A1758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58" s="5" t="str">
        <f ca="1">IFERROR(ROWSDUMMYFUNCTION(IF(A1758="","",CONCATENATE("https://us.pandora.net/on/demandware.static/-/Sites-pandora-master-catalog/default/dwbb259ca6/productimages/singlepackshot/",LEFT(A1758,FIND("-",A1758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59" spans="1:4" x14ac:dyDescent="0.25">
      <c r="A1759" s="3" t="s">
        <v>1761</v>
      </c>
      <c r="B1759" s="4">
        <v>79</v>
      </c>
      <c r="C1759" s="3" t="str">
        <f ca="1">IFERROR(ROWSDUMMYFUNCTION(IF(A1759="","",IFERROR(IMAGE(CONCATENATE("https://us.pandora.net/on/demandware.static/-/Sites-pandora-master-catalog/default/dwbb259ca6/productimages/singlepackshot/",LEFT(A1759,FIND("-",A1759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59" s="5" t="str">
        <f ca="1">IFERROR(ROWSDUMMYFUNCTION(IF(A1759="","",CONCATENATE("https://us.pandora.net/on/demandware.static/-/Sites-pandora-master-catalog/default/dwbb259ca6/productimages/singlepackshot/",LEFT(A1759,FIND("-",A1759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0" spans="1:4" x14ac:dyDescent="0.25">
      <c r="A1760" s="3" t="s">
        <v>1762</v>
      </c>
      <c r="B1760" s="4">
        <v>79</v>
      </c>
      <c r="C1760" s="3" t="str">
        <f ca="1">IFERROR(ROWSDUMMYFUNCTION(IF(A1760="","",IFERROR(IMAGE(CONCATENATE("https://us.pandora.net/on/demandware.static/-/Sites-pandora-master-catalog/default/dwbb259ca6/productimages/singlepackshot/",LEFT(A1760,FIND("-",A1760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60" s="5" t="str">
        <f ca="1">IFERROR(ROWSDUMMYFUNCTION(IF(A1760="","",CONCATENATE("https://us.pandora.net/on/demandware.static/-/Sites-pandora-master-catalog/default/dwbb259ca6/productimages/singlepackshot/",LEFT(A1760,FIND("-",A1760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1" spans="1:4" x14ac:dyDescent="0.25">
      <c r="A1761" s="3" t="s">
        <v>1763</v>
      </c>
      <c r="B1761" s="4">
        <v>79</v>
      </c>
      <c r="C1761" s="3" t="str">
        <f ca="1">IFERROR(ROWSDUMMYFUNCTION(IF(A1761="","",IFERROR(IMAGE(CONCATENATE("https://us.pandora.net/on/demandware.static/-/Sites-pandora-master-catalog/default/dwbb259ca6/productimages/singlepackshot/",LEFT(A1761,FIND("-",A1761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61" s="5" t="str">
        <f ca="1">IFERROR(ROWSDUMMYFUNCTION(IF(A1761="","",CONCATENATE("https://us.pandora.net/on/demandware.static/-/Sites-pandora-master-catalog/default/dwbb259ca6/productimages/singlepackshot/",LEFT(A1761,FIND("-",A1761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2" spans="1:4" x14ac:dyDescent="0.25">
      <c r="A1762" s="3" t="s">
        <v>1764</v>
      </c>
      <c r="B1762" s="4">
        <v>79</v>
      </c>
      <c r="C1762" s="3" t="str">
        <f ca="1">IFERROR(ROWSDUMMYFUNCTION(IF(A1762="","",IFERROR(IMAGE(CONCATENATE("https://us.pandora.net/on/demandware.static/-/Sites-pandora-master-catalog/default/dwbb259ca6/productimages/singlepackshot/",LEFT(A1762,FIND("-",A1762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62" s="5" t="str">
        <f ca="1">IFERROR(ROWSDUMMYFUNCTION(IF(A1762="","",CONCATENATE("https://us.pandora.net/on/demandware.static/-/Sites-pandora-master-catalog/default/dwbb259ca6/productimages/singlepackshot/",LEFT(A1762,FIND("-",A1762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3" spans="1:4" x14ac:dyDescent="0.25">
      <c r="A1763" s="3" t="s">
        <v>1765</v>
      </c>
      <c r="B1763" s="4">
        <v>79</v>
      </c>
      <c r="C1763" s="3" t="str">
        <f ca="1">IFERROR(ROWSDUMMYFUNCTION(IF(A1763="","",IFERROR(IMAGE(CONCATENATE("https://us.pandora.net/on/demandware.static/-/Sites-pandora-master-catalog/default/dwbb259ca6/productimages/singlepackshot/",LEFT(A1763,FIND("-",A1763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63" s="5" t="str">
        <f ca="1">IFERROR(ROWSDUMMYFUNCTION(IF(A1763="","",CONCATENATE("https://us.pandora.net/on/demandware.static/-/Sites-pandora-master-catalog/default/dwbb259ca6/productimages/singlepackshot/",LEFT(A1763,FIND("-",A1763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4" spans="1:4" x14ac:dyDescent="0.25">
      <c r="A1764" s="3" t="s">
        <v>1766</v>
      </c>
      <c r="B1764" s="4">
        <v>79</v>
      </c>
      <c r="C1764" s="3" t="str">
        <f ca="1">IFERROR(ROWSDUMMYFUNCTION(IF(A1764="","",IFERROR(IMAGE(CONCATENATE("https://us.pandora.net/on/demandware.static/-/Sites-pandora-master-catalog/default/dwbb259ca6/productimages/singlepackshot/",LEFT(A1764,FIND("-",A1764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64" s="5" t="str">
        <f ca="1">IFERROR(ROWSDUMMYFUNCTION(IF(A1764="","",CONCATENATE("https://us.pandora.net/on/demandware.static/-/Sites-pandora-master-catalog/default/dwbb259ca6/productimages/singlepackshot/",LEFT(A1764,FIND("-",A1764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5" spans="1:4" x14ac:dyDescent="0.25">
      <c r="A1765" s="3" t="s">
        <v>1767</v>
      </c>
      <c r="B1765" s="4">
        <v>79</v>
      </c>
      <c r="C1765" s="3" t="str">
        <f ca="1">IFERROR(ROWSDUMMYFUNCTION(IF(A1765="","",IFERROR(IMAGE(CONCATENATE("https://us.pandora.net/on/demandware.static/-/Sites-pandora-master-catalog/default/dwbb259ca6/productimages/singlepackshot/",LEFT(A1765,FIND("-",A1765&amp;"-")-1),"_RGB.png")),""))),"{""url"":""https://us.pandora.net/on/demandware.static/-/Sites-pandora-master-catalog/default/dwbb259ca6/productimages/singlepackshot/198863C01_RGB.png"",""mode"":1}")</f>
        <v>{"url":"https://us.pandora.net/on/demandware.static/-/Sites-pandora-master-catalog/default/dwbb259ca6/productimages/singlepackshot/198863C01_RGB.png","mode":1}</v>
      </c>
      <c r="D1765" s="5" t="str">
        <f ca="1">IFERROR(ROWSDUMMYFUNCTION(IF(A1765="","",CONCATENATE("https://us.pandora.net/on/demandware.static/-/Sites-pandora-master-catalog/default/dwbb259ca6/productimages/singlepackshot/",LEFT(A1765,FIND("-",A1765&amp;"-")-1),"_RGB.png"))),"https://us.pandora.net/on/demandware.static/-/Sites-pandora-master-catalog/default/dwbb259ca6/productimages/singlepackshot/198863C01_RGB.png")</f>
        <v>https://us.pandora.net/on/demandware.static/-/Sites-pandora-master-catalog/default/dwbb259ca6/productimages/singlepackshot/198863C01_RGB.png</v>
      </c>
    </row>
    <row r="1766" spans="1:4" x14ac:dyDescent="0.25">
      <c r="A1766" s="3" t="s">
        <v>1768</v>
      </c>
      <c r="B1766" s="4">
        <v>35</v>
      </c>
      <c r="C1766" s="3" t="str">
        <f ca="1">IFERROR(ROWSDUMMYFUNCTION(IF(A1766="","",IFERROR(IMAGE(CONCATENATE("https://us.pandora.net/on/demandware.static/-/Sites-pandora-master-catalog/default/dwbb259ca6/productimages/singlepackshot/",LEFT(A1766,FIND("-",A1766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66" s="5" t="str">
        <f ca="1">IFERROR(ROWSDUMMYFUNCTION(IF(A1766="","",CONCATENATE("https://us.pandora.net/on/demandware.static/-/Sites-pandora-master-catalog/default/dwbb259ca6/productimages/singlepackshot/",LEFT(A1766,FIND("-",A1766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67" spans="1:4" x14ac:dyDescent="0.25">
      <c r="A1767" s="3" t="s">
        <v>1769</v>
      </c>
      <c r="B1767" s="4">
        <v>35</v>
      </c>
      <c r="C1767" s="3" t="str">
        <f ca="1">IFERROR(ROWSDUMMYFUNCTION(IF(A1767="","",IFERROR(IMAGE(CONCATENATE("https://us.pandora.net/on/demandware.static/-/Sites-pandora-master-catalog/default/dwbb259ca6/productimages/singlepackshot/",LEFT(A1767,FIND("-",A1767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67" s="5" t="str">
        <f ca="1">IFERROR(ROWSDUMMYFUNCTION(IF(A1767="","",CONCATENATE("https://us.pandora.net/on/demandware.static/-/Sites-pandora-master-catalog/default/dwbb259ca6/productimages/singlepackshot/",LEFT(A1767,FIND("-",A1767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68" spans="1:4" x14ac:dyDescent="0.25">
      <c r="A1768" s="3" t="s">
        <v>1770</v>
      </c>
      <c r="B1768" s="4">
        <v>35</v>
      </c>
      <c r="C1768" s="3" t="str">
        <f ca="1">IFERROR(ROWSDUMMYFUNCTION(IF(A1768="","",IFERROR(IMAGE(CONCATENATE("https://us.pandora.net/on/demandware.static/-/Sites-pandora-master-catalog/default/dwbb259ca6/productimages/singlepackshot/",LEFT(A1768,FIND("-",A1768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68" s="5" t="str">
        <f ca="1">IFERROR(ROWSDUMMYFUNCTION(IF(A1768="","",CONCATENATE("https://us.pandora.net/on/demandware.static/-/Sites-pandora-master-catalog/default/dwbb259ca6/productimages/singlepackshot/",LEFT(A1768,FIND("-",A1768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69" spans="1:4" x14ac:dyDescent="0.25">
      <c r="A1769" s="3" t="s">
        <v>1771</v>
      </c>
      <c r="B1769" s="4">
        <v>35</v>
      </c>
      <c r="C1769" s="3" t="str">
        <f ca="1">IFERROR(ROWSDUMMYFUNCTION(IF(A1769="","",IFERROR(IMAGE(CONCATENATE("https://us.pandora.net/on/demandware.static/-/Sites-pandora-master-catalog/default/dwbb259ca6/productimages/singlepackshot/",LEFT(A1769,FIND("-",A1769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69" s="5" t="str">
        <f ca="1">IFERROR(ROWSDUMMYFUNCTION(IF(A1769="","",CONCATENATE("https://us.pandora.net/on/demandware.static/-/Sites-pandora-master-catalog/default/dwbb259ca6/productimages/singlepackshot/",LEFT(A1769,FIND("-",A1769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70" spans="1:4" x14ac:dyDescent="0.25">
      <c r="A1770" s="3" t="s">
        <v>1772</v>
      </c>
      <c r="B1770" s="4">
        <v>35</v>
      </c>
      <c r="C1770" s="3" t="str">
        <f ca="1">IFERROR(ROWSDUMMYFUNCTION(IF(A1770="","",IFERROR(IMAGE(CONCATENATE("https://us.pandora.net/on/demandware.static/-/Sites-pandora-master-catalog/default/dwbb259ca6/productimages/singlepackshot/",LEFT(A1770,FIND("-",A1770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70" s="5" t="str">
        <f ca="1">IFERROR(ROWSDUMMYFUNCTION(IF(A1770="","",CONCATENATE("https://us.pandora.net/on/demandware.static/-/Sites-pandora-master-catalog/default/dwbb259ca6/productimages/singlepackshot/",LEFT(A1770,FIND("-",A1770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71" spans="1:4" x14ac:dyDescent="0.25">
      <c r="A1771" s="3" t="s">
        <v>1773</v>
      </c>
      <c r="B1771" s="4">
        <v>35</v>
      </c>
      <c r="C1771" s="3" t="str">
        <f ca="1">IFERROR(ROWSDUMMYFUNCTION(IF(A1771="","",IFERROR(IMAGE(CONCATENATE("https://us.pandora.net/on/demandware.static/-/Sites-pandora-master-catalog/default/dwbb259ca6/productimages/singlepackshot/",LEFT(A1771,FIND("-",A1771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71" s="5" t="str">
        <f ca="1">IFERROR(ROWSDUMMYFUNCTION(IF(A1771="","",CONCATENATE("https://us.pandora.net/on/demandware.static/-/Sites-pandora-master-catalog/default/dwbb259ca6/productimages/singlepackshot/",LEFT(A1771,FIND("-",A1771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72" spans="1:4" x14ac:dyDescent="0.25">
      <c r="A1772" s="3" t="s">
        <v>1774</v>
      </c>
      <c r="B1772" s="4">
        <v>35</v>
      </c>
      <c r="C1772" s="3" t="str">
        <f ca="1">IFERROR(ROWSDUMMYFUNCTION(IF(A1772="","",IFERROR(IMAGE(CONCATENATE("https://us.pandora.net/on/demandware.static/-/Sites-pandora-master-catalog/default/dwbb259ca6/productimages/singlepackshot/",LEFT(A1772,FIND("-",A1772&amp;"-")-1),"_RGB.png")),""))),"{""url"":""https://us.pandora.net/on/demandware.static/-/Sites-pandora-master-catalog/default/dwbb259ca6/productimages/singlepackshot/198898C00_RGB.png"",""mode"":1}")</f>
        <v>{"url":"https://us.pandora.net/on/demandware.static/-/Sites-pandora-master-catalog/default/dwbb259ca6/productimages/singlepackshot/198898C00_RGB.png","mode":1}</v>
      </c>
      <c r="D1772" s="5" t="str">
        <f ca="1">IFERROR(ROWSDUMMYFUNCTION(IF(A1772="","",CONCATENATE("https://us.pandora.net/on/demandware.static/-/Sites-pandora-master-catalog/default/dwbb259ca6/productimages/singlepackshot/",LEFT(A1772,FIND("-",A1772&amp;"-")-1),"_RGB.png"))),"https://us.pandora.net/on/demandware.static/-/Sites-pandora-master-catalog/default/dwbb259ca6/productimages/singlepackshot/198898C00_RGB.png")</f>
        <v>https://us.pandora.net/on/demandware.static/-/Sites-pandora-master-catalog/default/dwbb259ca6/productimages/singlepackshot/198898C00_RGB.png</v>
      </c>
    </row>
    <row r="1773" spans="1:4" x14ac:dyDescent="0.25">
      <c r="A1773" s="3" t="s">
        <v>1775</v>
      </c>
      <c r="B1773" s="4">
        <v>99</v>
      </c>
      <c r="C1773" s="3" t="str">
        <f ca="1">IFERROR(ROWSDUMMYFUNCTION(IF(A1773="","",IFERROR(IMAGE(CONCATENATE("https://us.pandora.net/on/demandware.static/-/Sites-pandora-master-catalog/default/dwbb259ca6/productimages/singlepackshot/",LEFT(A1773,FIND("-",A1773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3" s="5" t="str">
        <f ca="1">IFERROR(ROWSDUMMYFUNCTION(IF(A1773="","",CONCATENATE("https://us.pandora.net/on/demandware.static/-/Sites-pandora-master-catalog/default/dwbb259ca6/productimages/singlepackshot/",LEFT(A1773,FIND("-",A1773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74" spans="1:4" x14ac:dyDescent="0.25">
      <c r="A1774" s="3" t="s">
        <v>1776</v>
      </c>
      <c r="B1774" s="4">
        <v>99</v>
      </c>
      <c r="C1774" s="3" t="str">
        <f ca="1">IFERROR(ROWSDUMMYFUNCTION(IF(A1774="","",IFERROR(IMAGE(CONCATENATE("https://us.pandora.net/on/demandware.static/-/Sites-pandora-master-catalog/default/dwbb259ca6/productimages/singlepackshot/",LEFT(A1774,FIND("-",A1774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4" s="5" t="str">
        <f ca="1">IFERROR(ROWSDUMMYFUNCTION(IF(A1774="","",CONCATENATE("https://us.pandora.net/on/demandware.static/-/Sites-pandora-master-catalog/default/dwbb259ca6/productimages/singlepackshot/",LEFT(A1774,FIND("-",A1774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75" spans="1:4" x14ac:dyDescent="0.25">
      <c r="A1775" s="3" t="s">
        <v>1777</v>
      </c>
      <c r="B1775" s="4">
        <v>99</v>
      </c>
      <c r="C1775" s="3" t="str">
        <f ca="1">IFERROR(ROWSDUMMYFUNCTION(IF(A1775="","",IFERROR(IMAGE(CONCATENATE("https://us.pandora.net/on/demandware.static/-/Sites-pandora-master-catalog/default/dwbb259ca6/productimages/singlepackshot/",LEFT(A1775,FIND("-",A1775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5" s="5" t="str">
        <f ca="1">IFERROR(ROWSDUMMYFUNCTION(IF(A1775="","",CONCATENATE("https://us.pandora.net/on/demandware.static/-/Sites-pandora-master-catalog/default/dwbb259ca6/productimages/singlepackshot/",LEFT(A1775,FIND("-",A1775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76" spans="1:4" x14ac:dyDescent="0.25">
      <c r="A1776" s="3" t="s">
        <v>1778</v>
      </c>
      <c r="B1776" s="4">
        <v>99</v>
      </c>
      <c r="C1776" s="3" t="str">
        <f ca="1">IFERROR(ROWSDUMMYFUNCTION(IF(A1776="","",IFERROR(IMAGE(CONCATENATE("https://us.pandora.net/on/demandware.static/-/Sites-pandora-master-catalog/default/dwbb259ca6/productimages/singlepackshot/",LEFT(A1776,FIND("-",A1776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6" s="5" t="str">
        <f ca="1">IFERROR(ROWSDUMMYFUNCTION(IF(A1776="","",CONCATENATE("https://us.pandora.net/on/demandware.static/-/Sites-pandora-master-catalog/default/dwbb259ca6/productimages/singlepackshot/",LEFT(A1776,FIND("-",A1776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77" spans="1:4" x14ac:dyDescent="0.25">
      <c r="A1777" s="3" t="s">
        <v>1779</v>
      </c>
      <c r="B1777" s="4">
        <v>99</v>
      </c>
      <c r="C1777" s="3" t="str">
        <f ca="1">IFERROR(ROWSDUMMYFUNCTION(IF(A1777="","",IFERROR(IMAGE(CONCATENATE("https://us.pandora.net/on/demandware.static/-/Sites-pandora-master-catalog/default/dwbb259ca6/productimages/singlepackshot/",LEFT(A1777,FIND("-",A1777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7" s="5" t="str">
        <f ca="1">IFERROR(ROWSDUMMYFUNCTION(IF(A1777="","",CONCATENATE("https://us.pandora.net/on/demandware.static/-/Sites-pandora-master-catalog/default/dwbb259ca6/productimages/singlepackshot/",LEFT(A1777,FIND("-",A1777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78" spans="1:4" x14ac:dyDescent="0.25">
      <c r="A1778" s="3" t="s">
        <v>1780</v>
      </c>
      <c r="B1778" s="4">
        <v>99</v>
      </c>
      <c r="C1778" s="3" t="str">
        <f ca="1">IFERROR(ROWSDUMMYFUNCTION(IF(A1778="","",IFERROR(IMAGE(CONCATENATE("https://us.pandora.net/on/demandware.static/-/Sites-pandora-master-catalog/default/dwbb259ca6/productimages/singlepackshot/",LEFT(A1778,FIND("-",A1778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8" s="5" t="str">
        <f ca="1">IFERROR(ROWSDUMMYFUNCTION(IF(A1778="","",CONCATENATE("https://us.pandora.net/on/demandware.static/-/Sites-pandora-master-catalog/default/dwbb259ca6/productimages/singlepackshot/",LEFT(A1778,FIND("-",A1778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79" spans="1:4" x14ac:dyDescent="0.25">
      <c r="A1779" s="3" t="s">
        <v>1781</v>
      </c>
      <c r="B1779" s="4">
        <v>99</v>
      </c>
      <c r="C1779" s="3" t="str">
        <f ca="1">IFERROR(ROWSDUMMYFUNCTION(IF(A1779="","",IFERROR(IMAGE(CONCATENATE("https://us.pandora.net/on/demandware.static/-/Sites-pandora-master-catalog/default/dwbb259ca6/productimages/singlepackshot/",LEFT(A1779,FIND("-",A1779&amp;"-")-1),"_RGB.png")),""))),"{""url"":""https://us.pandora.net/on/demandware.static/-/Sites-pandora-master-catalog/default/dwbb259ca6/productimages/singlepackshot/199057C01_RGB.png"",""mode"":1}")</f>
        <v>{"url":"https://us.pandora.net/on/demandware.static/-/Sites-pandora-master-catalog/default/dwbb259ca6/productimages/singlepackshot/199057C01_RGB.png","mode":1}</v>
      </c>
      <c r="D1779" s="5" t="str">
        <f ca="1">IFERROR(ROWSDUMMYFUNCTION(IF(A1779="","",CONCATENATE("https://us.pandora.net/on/demandware.static/-/Sites-pandora-master-catalog/default/dwbb259ca6/productimages/singlepackshot/",LEFT(A1779,FIND("-",A1779&amp;"-")-1),"_RGB.png"))),"https://us.pandora.net/on/demandware.static/-/Sites-pandora-master-catalog/default/dwbb259ca6/productimages/singlepackshot/199057C01_RGB.png")</f>
        <v>https://us.pandora.net/on/demandware.static/-/Sites-pandora-master-catalog/default/dwbb259ca6/productimages/singlepackshot/199057C01_RGB.png</v>
      </c>
    </row>
    <row r="1780" spans="1:4" x14ac:dyDescent="0.25">
      <c r="A1780" s="3" t="s">
        <v>1782</v>
      </c>
      <c r="B1780" s="4">
        <v>49</v>
      </c>
      <c r="C1780" s="3" t="str">
        <f ca="1">IFERROR(ROWSDUMMYFUNCTION(IF(A1780="","",IFERROR(IMAGE(CONCATENATE("https://us.pandora.net/on/demandware.static/-/Sites-pandora-master-catalog/default/dwbb259ca6/productimages/singlepackshot/",LEFT(A1780,FIND("-",A1780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0" s="5" t="str">
        <f ca="1">IFERROR(ROWSDUMMYFUNCTION(IF(A1780="","",CONCATENATE("https://us.pandora.net/on/demandware.static/-/Sites-pandora-master-catalog/default/dwbb259ca6/productimages/singlepackshot/",LEFT(A1780,FIND("-",A1780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1" spans="1:4" x14ac:dyDescent="0.25">
      <c r="A1781" s="3" t="s">
        <v>1783</v>
      </c>
      <c r="B1781" s="4">
        <v>49</v>
      </c>
      <c r="C1781" s="3" t="str">
        <f ca="1">IFERROR(ROWSDUMMYFUNCTION(IF(A1781="","",IFERROR(IMAGE(CONCATENATE("https://us.pandora.net/on/demandware.static/-/Sites-pandora-master-catalog/default/dwbb259ca6/productimages/singlepackshot/",LEFT(A1781,FIND("-",A1781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1" s="5" t="str">
        <f ca="1">IFERROR(ROWSDUMMYFUNCTION(IF(A1781="","",CONCATENATE("https://us.pandora.net/on/demandware.static/-/Sites-pandora-master-catalog/default/dwbb259ca6/productimages/singlepackshot/",LEFT(A1781,FIND("-",A1781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2" spans="1:4" x14ac:dyDescent="0.25">
      <c r="A1782" s="3" t="s">
        <v>1784</v>
      </c>
      <c r="B1782" s="4">
        <v>49</v>
      </c>
      <c r="C1782" s="3" t="str">
        <f ca="1">IFERROR(ROWSDUMMYFUNCTION(IF(A1782="","",IFERROR(IMAGE(CONCATENATE("https://us.pandora.net/on/demandware.static/-/Sites-pandora-master-catalog/default/dwbb259ca6/productimages/singlepackshot/",LEFT(A1782,FIND("-",A1782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2" s="5" t="str">
        <f ca="1">IFERROR(ROWSDUMMYFUNCTION(IF(A1782="","",CONCATENATE("https://us.pandora.net/on/demandware.static/-/Sites-pandora-master-catalog/default/dwbb259ca6/productimages/singlepackshot/",LEFT(A1782,FIND("-",A1782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3" spans="1:4" x14ac:dyDescent="0.25">
      <c r="A1783" s="3" t="s">
        <v>1785</v>
      </c>
      <c r="B1783" s="4">
        <v>49</v>
      </c>
      <c r="C1783" s="3" t="str">
        <f ca="1">IFERROR(ROWSDUMMYFUNCTION(IF(A1783="","",IFERROR(IMAGE(CONCATENATE("https://us.pandora.net/on/demandware.static/-/Sites-pandora-master-catalog/default/dwbb259ca6/productimages/singlepackshot/",LEFT(A1783,FIND("-",A1783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3" s="5" t="str">
        <f ca="1">IFERROR(ROWSDUMMYFUNCTION(IF(A1783="","",CONCATENATE("https://us.pandora.net/on/demandware.static/-/Sites-pandora-master-catalog/default/dwbb259ca6/productimages/singlepackshot/",LEFT(A1783,FIND("-",A1783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4" spans="1:4" x14ac:dyDescent="0.25">
      <c r="A1784" s="3" t="s">
        <v>1786</v>
      </c>
      <c r="B1784" s="4">
        <v>49</v>
      </c>
      <c r="C1784" s="3" t="str">
        <f ca="1">IFERROR(ROWSDUMMYFUNCTION(IF(A1784="","",IFERROR(IMAGE(CONCATENATE("https://us.pandora.net/on/demandware.static/-/Sites-pandora-master-catalog/default/dwbb259ca6/productimages/singlepackshot/",LEFT(A1784,FIND("-",A1784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4" s="5" t="str">
        <f ca="1">IFERROR(ROWSDUMMYFUNCTION(IF(A1784="","",CONCATENATE("https://us.pandora.net/on/demandware.static/-/Sites-pandora-master-catalog/default/dwbb259ca6/productimages/singlepackshot/",LEFT(A1784,FIND("-",A1784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5" spans="1:4" x14ac:dyDescent="0.25">
      <c r="A1785" s="3" t="s">
        <v>1787</v>
      </c>
      <c r="B1785" s="4">
        <v>49</v>
      </c>
      <c r="C1785" s="3" t="str">
        <f ca="1">IFERROR(ROWSDUMMYFUNCTION(IF(A1785="","",IFERROR(IMAGE(CONCATENATE("https://us.pandora.net/on/demandware.static/-/Sites-pandora-master-catalog/default/dwbb259ca6/productimages/singlepackshot/",LEFT(A1785,FIND("-",A1785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5" s="5" t="str">
        <f ca="1">IFERROR(ROWSDUMMYFUNCTION(IF(A1785="","",CONCATENATE("https://us.pandora.net/on/demandware.static/-/Sites-pandora-master-catalog/default/dwbb259ca6/productimages/singlepackshot/",LEFT(A1785,FIND("-",A1785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6" spans="1:4" x14ac:dyDescent="0.25">
      <c r="A1786" s="3" t="s">
        <v>1788</v>
      </c>
      <c r="B1786" s="4">
        <v>49</v>
      </c>
      <c r="C1786" s="3" t="str">
        <f ca="1">IFERROR(ROWSDUMMYFUNCTION(IF(A1786="","",IFERROR(IMAGE(CONCATENATE("https://us.pandora.net/on/demandware.static/-/Sites-pandora-master-catalog/default/dwbb259ca6/productimages/singlepackshot/",LEFT(A1786,FIND("-",A1786&amp;"-")-1),"_RGB.png")),""))),"{""url"":""https://us.pandora.net/on/demandware.static/-/Sites-pandora-master-catalog/default/dwbb259ca6/productimages/singlepackshot/199267C02_RGB.png"",""mode"":1}")</f>
        <v>{"url":"https://us.pandora.net/on/demandware.static/-/Sites-pandora-master-catalog/default/dwbb259ca6/productimages/singlepackshot/199267C02_RGB.png","mode":1}</v>
      </c>
      <c r="D1786" s="5" t="str">
        <f ca="1">IFERROR(ROWSDUMMYFUNCTION(IF(A1786="","",CONCATENATE("https://us.pandora.net/on/demandware.static/-/Sites-pandora-master-catalog/default/dwbb259ca6/productimages/singlepackshot/",LEFT(A1786,FIND("-",A1786&amp;"-")-1),"_RGB.png"))),"https://us.pandora.net/on/demandware.static/-/Sites-pandora-master-catalog/default/dwbb259ca6/productimages/singlepackshot/199267C02_RGB.png")</f>
        <v>https://us.pandora.net/on/demandware.static/-/Sites-pandora-master-catalog/default/dwbb259ca6/productimages/singlepackshot/199267C02_RGB.png</v>
      </c>
    </row>
    <row r="1787" spans="1:4" x14ac:dyDescent="0.25">
      <c r="A1787" s="3" t="s">
        <v>1789</v>
      </c>
      <c r="B1787" s="4">
        <v>59</v>
      </c>
      <c r="C1787" s="3" t="str">
        <f ca="1">IFERROR(ROWSDUMMYFUNCTION(IF(A1787="","",IFERROR(IMAGE(CONCATENATE("https://us.pandora.net/on/demandware.static/-/Sites-pandora-master-catalog/default/dwbb259ca6/productimages/singlepackshot/",LEFT(A1787,FIND("-",A1787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87" s="5" t="str">
        <f ca="1">IFERROR(ROWSDUMMYFUNCTION(IF(A1787="","",CONCATENATE("https://us.pandora.net/on/demandware.static/-/Sites-pandora-master-catalog/default/dwbb259ca6/productimages/singlepackshot/",LEFT(A1787,FIND("-",A1787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88" spans="1:4" x14ac:dyDescent="0.25">
      <c r="A1788" s="3" t="s">
        <v>1790</v>
      </c>
      <c r="B1788" s="4">
        <v>59</v>
      </c>
      <c r="C1788" s="3" t="str">
        <f ca="1">IFERROR(ROWSDUMMYFUNCTION(IF(A1788="","",IFERROR(IMAGE(CONCATENATE("https://us.pandora.net/on/demandware.static/-/Sites-pandora-master-catalog/default/dwbb259ca6/productimages/singlepackshot/",LEFT(A1788,FIND("-",A1788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88" s="5" t="str">
        <f ca="1">IFERROR(ROWSDUMMYFUNCTION(IF(A1788="","",CONCATENATE("https://us.pandora.net/on/demandware.static/-/Sites-pandora-master-catalog/default/dwbb259ca6/productimages/singlepackshot/",LEFT(A1788,FIND("-",A1788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89" spans="1:4" x14ac:dyDescent="0.25">
      <c r="A1789" s="3" t="s">
        <v>1791</v>
      </c>
      <c r="B1789" s="4">
        <v>59</v>
      </c>
      <c r="C1789" s="3" t="str">
        <f ca="1">IFERROR(ROWSDUMMYFUNCTION(IF(A1789="","",IFERROR(IMAGE(CONCATENATE("https://us.pandora.net/on/demandware.static/-/Sites-pandora-master-catalog/default/dwbb259ca6/productimages/singlepackshot/",LEFT(A1789,FIND("-",A1789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89" s="5" t="str">
        <f ca="1">IFERROR(ROWSDUMMYFUNCTION(IF(A1789="","",CONCATENATE("https://us.pandora.net/on/demandware.static/-/Sites-pandora-master-catalog/default/dwbb259ca6/productimages/singlepackshot/",LEFT(A1789,FIND("-",A1789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90" spans="1:4" x14ac:dyDescent="0.25">
      <c r="A1790" s="3" t="s">
        <v>1792</v>
      </c>
      <c r="B1790" s="4">
        <v>59</v>
      </c>
      <c r="C1790" s="3" t="str">
        <f ca="1">IFERROR(ROWSDUMMYFUNCTION(IF(A1790="","",IFERROR(IMAGE(CONCATENATE("https://us.pandora.net/on/demandware.static/-/Sites-pandora-master-catalog/default/dwbb259ca6/productimages/singlepackshot/",LEFT(A1790,FIND("-",A1790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90" s="5" t="str">
        <f ca="1">IFERROR(ROWSDUMMYFUNCTION(IF(A1790="","",CONCATENATE("https://us.pandora.net/on/demandware.static/-/Sites-pandora-master-catalog/default/dwbb259ca6/productimages/singlepackshot/",LEFT(A1790,FIND("-",A1790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91" spans="1:4" x14ac:dyDescent="0.25">
      <c r="A1791" s="3" t="s">
        <v>1793</v>
      </c>
      <c r="B1791" s="4">
        <v>59</v>
      </c>
      <c r="C1791" s="3" t="str">
        <f ca="1">IFERROR(ROWSDUMMYFUNCTION(IF(A1791="","",IFERROR(IMAGE(CONCATENATE("https://us.pandora.net/on/demandware.static/-/Sites-pandora-master-catalog/default/dwbb259ca6/productimages/singlepackshot/",LEFT(A1791,FIND("-",A1791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91" s="5" t="str">
        <f ca="1">IFERROR(ROWSDUMMYFUNCTION(IF(A1791="","",CONCATENATE("https://us.pandora.net/on/demandware.static/-/Sites-pandora-master-catalog/default/dwbb259ca6/productimages/singlepackshot/",LEFT(A1791,FIND("-",A1791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92" spans="1:4" x14ac:dyDescent="0.25">
      <c r="A1792" s="3" t="s">
        <v>1794</v>
      </c>
      <c r="B1792" s="4">
        <v>59</v>
      </c>
      <c r="C1792" s="3" t="str">
        <f ca="1">IFERROR(ROWSDUMMYFUNCTION(IF(A1792="","",IFERROR(IMAGE(CONCATENATE("https://us.pandora.net/on/demandware.static/-/Sites-pandora-master-catalog/default/dwbb259ca6/productimages/singlepackshot/",LEFT(A1792,FIND("-",A1792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92" s="5" t="str">
        <f ca="1">IFERROR(ROWSDUMMYFUNCTION(IF(A1792="","",CONCATENATE("https://us.pandora.net/on/demandware.static/-/Sites-pandora-master-catalog/default/dwbb259ca6/productimages/singlepackshot/",LEFT(A1792,FIND("-",A1792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93" spans="1:4" x14ac:dyDescent="0.25">
      <c r="A1793" s="3" t="s">
        <v>1795</v>
      </c>
      <c r="B1793" s="4">
        <v>59</v>
      </c>
      <c r="C1793" s="3" t="str">
        <f ca="1">IFERROR(ROWSDUMMYFUNCTION(IF(A1793="","",IFERROR(IMAGE(CONCATENATE("https://us.pandora.net/on/demandware.static/-/Sites-pandora-master-catalog/default/dwbb259ca6/productimages/singlepackshot/",LEFT(A1793,FIND("-",A1793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93" s="5" t="str">
        <f ca="1">IFERROR(ROWSDUMMYFUNCTION(IF(A1793="","",CONCATENATE("https://us.pandora.net/on/demandware.static/-/Sites-pandora-master-catalog/default/dwbb259ca6/productimages/singlepackshot/",LEFT(A1793,FIND("-",A1793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94" spans="1:4" x14ac:dyDescent="0.25">
      <c r="A1794" s="3" t="s">
        <v>1796</v>
      </c>
      <c r="B1794" s="4">
        <v>59</v>
      </c>
      <c r="C1794" s="3" t="str">
        <f ca="1">IFERROR(ROWSDUMMYFUNCTION(IF(A1794="","",IFERROR(IMAGE(CONCATENATE("https://us.pandora.net/on/demandware.static/-/Sites-pandora-master-catalog/default/dwbb259ca6/productimages/singlepackshot/",LEFT(A1794,FIND("-",A1794&amp;"-")-1),"_RGB.png")),""))),"{""url"":""https://us.pandora.net/on/demandware.static/-/Sites-pandora-master-catalog/default/dwbb259ca6/productimages/singlepackshot/199302C01_RGB.png"",""mode"":1}")</f>
        <v>{"url":"https://us.pandora.net/on/demandware.static/-/Sites-pandora-master-catalog/default/dwbb259ca6/productimages/singlepackshot/199302C01_RGB.png","mode":1}</v>
      </c>
      <c r="D1794" s="5" t="str">
        <f ca="1">IFERROR(ROWSDUMMYFUNCTION(IF(A1794="","",CONCATENATE("https://us.pandora.net/on/demandware.static/-/Sites-pandora-master-catalog/default/dwbb259ca6/productimages/singlepackshot/",LEFT(A1794,FIND("-",A1794&amp;"-")-1),"_RGB.png"))),"https://us.pandora.net/on/demandware.static/-/Sites-pandora-master-catalog/default/dwbb259ca6/productimages/singlepackshot/199302C01_RGB.png")</f>
        <v>https://us.pandora.net/on/demandware.static/-/Sites-pandora-master-catalog/default/dwbb259ca6/productimages/singlepackshot/199302C01_RGB.png</v>
      </c>
    </row>
    <row r="1795" spans="1:4" x14ac:dyDescent="0.25">
      <c r="A1795" s="3" t="s">
        <v>1797</v>
      </c>
      <c r="B1795" s="4">
        <v>69</v>
      </c>
      <c r="C1795" s="3" t="str">
        <f ca="1">IFERROR(ROWSDUMMYFUNCTION(IF(A1795="","",IFERROR(IMAGE(CONCATENATE("https://us.pandora.net/on/demandware.static/-/Sites-pandora-master-catalog/default/dwbb259ca6/productimages/singlepackshot/",LEFT(A1795,FIND("-",A1795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795" s="5" t="str">
        <f ca="1">IFERROR(ROWSDUMMYFUNCTION(IF(A1795="","",CONCATENATE("https://us.pandora.net/on/demandware.static/-/Sites-pandora-master-catalog/default/dwbb259ca6/productimages/singlepackshot/",LEFT(A1795,FIND("-",A1795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796" spans="1:4" x14ac:dyDescent="0.25">
      <c r="A1796" s="3" t="s">
        <v>1798</v>
      </c>
      <c r="B1796" s="4">
        <v>69</v>
      </c>
      <c r="C1796" s="3" t="str">
        <f ca="1">IFERROR(ROWSDUMMYFUNCTION(IF(A1796="","",IFERROR(IMAGE(CONCATENATE("https://us.pandora.net/on/demandware.static/-/Sites-pandora-master-catalog/default/dwbb259ca6/productimages/singlepackshot/",LEFT(A1796,FIND("-",A1796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796" s="5" t="str">
        <f ca="1">IFERROR(ROWSDUMMYFUNCTION(IF(A1796="","",CONCATENATE("https://us.pandora.net/on/demandware.static/-/Sites-pandora-master-catalog/default/dwbb259ca6/productimages/singlepackshot/",LEFT(A1796,FIND("-",A1796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797" spans="1:4" x14ac:dyDescent="0.25">
      <c r="A1797" s="3" t="s">
        <v>1799</v>
      </c>
      <c r="B1797" s="4">
        <v>69</v>
      </c>
      <c r="C1797" s="3" t="str">
        <f ca="1">IFERROR(ROWSDUMMYFUNCTION(IF(A1797="","",IFERROR(IMAGE(CONCATENATE("https://us.pandora.net/on/demandware.static/-/Sites-pandora-master-catalog/default/dwbb259ca6/productimages/singlepackshot/",LEFT(A1797,FIND("-",A1797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797" s="5" t="str">
        <f ca="1">IFERROR(ROWSDUMMYFUNCTION(IF(A1797="","",CONCATENATE("https://us.pandora.net/on/demandware.static/-/Sites-pandora-master-catalog/default/dwbb259ca6/productimages/singlepackshot/",LEFT(A1797,FIND("-",A1797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798" spans="1:4" x14ac:dyDescent="0.25">
      <c r="A1798" s="3" t="s">
        <v>1800</v>
      </c>
      <c r="B1798" s="4">
        <v>69</v>
      </c>
      <c r="C1798" s="3" t="str">
        <f ca="1">IFERROR(ROWSDUMMYFUNCTION(IF(A1798="","",IFERROR(IMAGE(CONCATENATE("https://us.pandora.net/on/demandware.static/-/Sites-pandora-master-catalog/default/dwbb259ca6/productimages/singlepackshot/",LEFT(A1798,FIND("-",A1798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798" s="5" t="str">
        <f ca="1">IFERROR(ROWSDUMMYFUNCTION(IF(A1798="","",CONCATENATE("https://us.pandora.net/on/demandware.static/-/Sites-pandora-master-catalog/default/dwbb259ca6/productimages/singlepackshot/",LEFT(A1798,FIND("-",A1798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799" spans="1:4" x14ac:dyDescent="0.25">
      <c r="A1799" s="3" t="s">
        <v>1801</v>
      </c>
      <c r="B1799" s="4">
        <v>69</v>
      </c>
      <c r="C1799" s="3" t="str">
        <f ca="1">IFERROR(ROWSDUMMYFUNCTION(IF(A1799="","",IFERROR(IMAGE(CONCATENATE("https://us.pandora.net/on/demandware.static/-/Sites-pandora-master-catalog/default/dwbb259ca6/productimages/singlepackshot/",LEFT(A1799,FIND("-",A1799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799" s="5" t="str">
        <f ca="1">IFERROR(ROWSDUMMYFUNCTION(IF(A1799="","",CONCATENATE("https://us.pandora.net/on/demandware.static/-/Sites-pandora-master-catalog/default/dwbb259ca6/productimages/singlepackshot/",LEFT(A1799,FIND("-",A1799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800" spans="1:4" x14ac:dyDescent="0.25">
      <c r="A1800" s="3" t="s">
        <v>1802</v>
      </c>
      <c r="B1800" s="4">
        <v>69</v>
      </c>
      <c r="C1800" s="3" t="str">
        <f ca="1">IFERROR(ROWSDUMMYFUNCTION(IF(A1800="","",IFERROR(IMAGE(CONCATENATE("https://us.pandora.net/on/demandware.static/-/Sites-pandora-master-catalog/default/dwbb259ca6/productimages/singlepackshot/",LEFT(A1800,FIND("-",A1800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800" s="5" t="str">
        <f ca="1">IFERROR(ROWSDUMMYFUNCTION(IF(A1800="","",CONCATENATE("https://us.pandora.net/on/demandware.static/-/Sites-pandora-master-catalog/default/dwbb259ca6/productimages/singlepackshot/",LEFT(A1800,FIND("-",A1800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801" spans="1:4" x14ac:dyDescent="0.25">
      <c r="A1801" s="3" t="s">
        <v>1803</v>
      </c>
      <c r="B1801" s="4">
        <v>69</v>
      </c>
      <c r="C1801" s="3" t="str">
        <f ca="1">IFERROR(ROWSDUMMYFUNCTION(IF(A1801="","",IFERROR(IMAGE(CONCATENATE("https://us.pandora.net/on/demandware.static/-/Sites-pandora-master-catalog/default/dwbb259ca6/productimages/singlepackshot/",LEFT(A1801,FIND("-",A1801&amp;"-")-1),"_RGB.png")),""))),"{""url"":""https://us.pandora.net/on/demandware.static/-/Sites-pandora-master-catalog/default/dwbb259ca6/productimages/singlepackshot/199491C01_RGB.png"",""mode"":1}")</f>
        <v>{"url":"https://us.pandora.net/on/demandware.static/-/Sites-pandora-master-catalog/default/dwbb259ca6/productimages/singlepackshot/199491C01_RGB.png","mode":1}</v>
      </c>
      <c r="D1801" s="5" t="str">
        <f ca="1">IFERROR(ROWSDUMMYFUNCTION(IF(A1801="","",CONCATENATE("https://us.pandora.net/on/demandware.static/-/Sites-pandora-master-catalog/default/dwbb259ca6/productimages/singlepackshot/",LEFT(A1801,FIND("-",A1801&amp;"-")-1),"_RGB.png"))),"https://us.pandora.net/on/demandware.static/-/Sites-pandora-master-catalog/default/dwbb259ca6/productimages/singlepackshot/199491C01_RGB.png")</f>
        <v>https://us.pandora.net/on/demandware.static/-/Sites-pandora-master-catalog/default/dwbb259ca6/productimages/singlepackshot/199491C01_RGB.png</v>
      </c>
    </row>
    <row r="1802" spans="1:4" x14ac:dyDescent="0.25">
      <c r="A1802" s="3" t="s">
        <v>1804</v>
      </c>
      <c r="B1802" s="4">
        <v>35</v>
      </c>
      <c r="C1802" s="3" t="str">
        <f ca="1">IFERROR(ROWSDUMMYFUNCTION(IF(A1802="","",IFERROR(IMAGE(CONCATENATE("https://us.pandora.net/on/demandware.static/-/Sites-pandora-master-catalog/default/dwbb259ca6/productimages/singlepackshot/",LEFT(A1802,FIND("-",A1802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2" s="5" t="str">
        <f ca="1">IFERROR(ROWSDUMMYFUNCTION(IF(A1802="","",CONCATENATE("https://us.pandora.net/on/demandware.static/-/Sites-pandora-master-catalog/default/dwbb259ca6/productimages/singlepackshot/",LEFT(A1802,FIND("-",A1802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3" spans="1:4" x14ac:dyDescent="0.25">
      <c r="A1803" s="3" t="s">
        <v>1805</v>
      </c>
      <c r="B1803" s="4">
        <v>35</v>
      </c>
      <c r="C1803" s="3" t="str">
        <f ca="1">IFERROR(ROWSDUMMYFUNCTION(IF(A1803="","",IFERROR(IMAGE(CONCATENATE("https://us.pandora.net/on/demandware.static/-/Sites-pandora-master-catalog/default/dwbb259ca6/productimages/singlepackshot/",LEFT(A1803,FIND("-",A1803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3" s="5" t="str">
        <f ca="1">IFERROR(ROWSDUMMYFUNCTION(IF(A1803="","",CONCATENATE("https://us.pandora.net/on/demandware.static/-/Sites-pandora-master-catalog/default/dwbb259ca6/productimages/singlepackshot/",LEFT(A1803,FIND("-",A1803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4" spans="1:4" x14ac:dyDescent="0.25">
      <c r="A1804" s="3" t="s">
        <v>1806</v>
      </c>
      <c r="B1804" s="4">
        <v>35</v>
      </c>
      <c r="C1804" s="3" t="str">
        <f ca="1">IFERROR(ROWSDUMMYFUNCTION(IF(A1804="","",IFERROR(IMAGE(CONCATENATE("https://us.pandora.net/on/demandware.static/-/Sites-pandora-master-catalog/default/dwbb259ca6/productimages/singlepackshot/",LEFT(A1804,FIND("-",A1804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4" s="5" t="str">
        <f ca="1">IFERROR(ROWSDUMMYFUNCTION(IF(A1804="","",CONCATENATE("https://us.pandora.net/on/demandware.static/-/Sites-pandora-master-catalog/default/dwbb259ca6/productimages/singlepackshot/",LEFT(A1804,FIND("-",A1804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5" spans="1:4" x14ac:dyDescent="0.25">
      <c r="A1805" s="3" t="s">
        <v>1807</v>
      </c>
      <c r="B1805" s="4">
        <v>35</v>
      </c>
      <c r="C1805" s="3" t="str">
        <f ca="1">IFERROR(ROWSDUMMYFUNCTION(IF(A1805="","",IFERROR(IMAGE(CONCATENATE("https://us.pandora.net/on/demandware.static/-/Sites-pandora-master-catalog/default/dwbb259ca6/productimages/singlepackshot/",LEFT(A1805,FIND("-",A1805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5" s="5" t="str">
        <f ca="1">IFERROR(ROWSDUMMYFUNCTION(IF(A1805="","",CONCATENATE("https://us.pandora.net/on/demandware.static/-/Sites-pandora-master-catalog/default/dwbb259ca6/productimages/singlepackshot/",LEFT(A1805,FIND("-",A1805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6" spans="1:4" x14ac:dyDescent="0.25">
      <c r="A1806" s="3" t="s">
        <v>1808</v>
      </c>
      <c r="B1806" s="4">
        <v>35</v>
      </c>
      <c r="C1806" s="3" t="str">
        <f ca="1">IFERROR(ROWSDUMMYFUNCTION(IF(A1806="","",IFERROR(IMAGE(CONCATENATE("https://us.pandora.net/on/demandware.static/-/Sites-pandora-master-catalog/default/dwbb259ca6/productimages/singlepackshot/",LEFT(A1806,FIND("-",A1806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6" s="5" t="str">
        <f ca="1">IFERROR(ROWSDUMMYFUNCTION(IF(A1806="","",CONCATENATE("https://us.pandora.net/on/demandware.static/-/Sites-pandora-master-catalog/default/dwbb259ca6/productimages/singlepackshot/",LEFT(A1806,FIND("-",A1806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7" spans="1:4" x14ac:dyDescent="0.25">
      <c r="A1807" s="3" t="s">
        <v>1809</v>
      </c>
      <c r="B1807" s="4">
        <v>35</v>
      </c>
      <c r="C1807" s="3" t="str">
        <f ca="1">IFERROR(ROWSDUMMYFUNCTION(IF(A1807="","",IFERROR(IMAGE(CONCATENATE("https://us.pandora.net/on/demandware.static/-/Sites-pandora-master-catalog/default/dwbb259ca6/productimages/singlepackshot/",LEFT(A1807,FIND("-",A1807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7" s="5" t="str">
        <f ca="1">IFERROR(ROWSDUMMYFUNCTION(IF(A1807="","",CONCATENATE("https://us.pandora.net/on/demandware.static/-/Sites-pandora-master-catalog/default/dwbb259ca6/productimages/singlepackshot/",LEFT(A1807,FIND("-",A1807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8" spans="1:4" x14ac:dyDescent="0.25">
      <c r="A1808" s="3" t="s">
        <v>1810</v>
      </c>
      <c r="B1808" s="4">
        <v>35</v>
      </c>
      <c r="C1808" s="3" t="str">
        <f ca="1">IFERROR(ROWSDUMMYFUNCTION(IF(A1808="","",IFERROR(IMAGE(CONCATENATE("https://us.pandora.net/on/demandware.static/-/Sites-pandora-master-catalog/default/dwbb259ca6/productimages/singlepackshot/",LEFT(A1808,FIND("-",A1808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8" s="5" t="str">
        <f ca="1">IFERROR(ROWSDUMMYFUNCTION(IF(A1808="","",CONCATENATE("https://us.pandora.net/on/demandware.static/-/Sites-pandora-master-catalog/default/dwbb259ca6/productimages/singlepackshot/",LEFT(A1808,FIND("-",A1808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09" spans="1:4" x14ac:dyDescent="0.25">
      <c r="A1809" s="3" t="s">
        <v>1811</v>
      </c>
      <c r="B1809" s="4">
        <v>35</v>
      </c>
      <c r="C1809" s="3" t="str">
        <f ca="1">IFERROR(ROWSDUMMYFUNCTION(IF(A1809="","",IFERROR(IMAGE(CONCATENATE("https://us.pandora.net/on/demandware.static/-/Sites-pandora-master-catalog/default/dwbb259ca6/productimages/singlepackshot/",LEFT(A1809,FIND("-",A1809&amp;"-")-1),"_RGB.png")),""))),"{""url"":""https://us.pandora.net/on/demandware.static/-/Sites-pandora-master-catalog/default/dwbb259ca6/productimages/singlepackshot/199679C01_RGB.png"",""mode"":1}")</f>
        <v>{"url":"https://us.pandora.net/on/demandware.static/-/Sites-pandora-master-catalog/default/dwbb259ca6/productimages/singlepackshot/199679C01_RGB.png","mode":1}</v>
      </c>
      <c r="D1809" s="5" t="str">
        <f ca="1">IFERROR(ROWSDUMMYFUNCTION(IF(A1809="","",CONCATENATE("https://us.pandora.net/on/demandware.static/-/Sites-pandora-master-catalog/default/dwbb259ca6/productimages/singlepackshot/",LEFT(A1809,FIND("-",A1809&amp;"-")-1),"_RGB.png"))),"https://us.pandora.net/on/demandware.static/-/Sites-pandora-master-catalog/default/dwbb259ca6/productimages/singlepackshot/199679C01_RGB.png")</f>
        <v>https://us.pandora.net/on/demandware.static/-/Sites-pandora-master-catalog/default/dwbb259ca6/productimages/singlepackshot/199679C01_RGB.png</v>
      </c>
    </row>
    <row r="1810" spans="1:4" x14ac:dyDescent="0.25">
      <c r="A1810" s="3" t="s">
        <v>1812</v>
      </c>
      <c r="B1810" s="4">
        <v>59</v>
      </c>
      <c r="C1810" s="3" t="str">
        <f ca="1">IFERROR(ROWSDUMMYFUNCTION(IF(A1810="","",IFERROR(IMAGE(CONCATENATE("https://us.pandora.net/on/demandware.static/-/Sites-pandora-master-catalog/default/dwbb259ca6/productimages/singlepackshot/",LEFT(A1810,FIND("-",A1810&amp;"-")-1),"_RGB.png")),""))),"{""url"":""https://us.pandora.net/on/demandware.static/-/Sites-pandora-master-catalog/default/dwbb259ca6/productimages/singlepackshot/260528C01_RGB.png"",""mode"":1}")</f>
        <v>{"url":"https://us.pandora.net/on/demandware.static/-/Sites-pandora-master-catalog/default/dwbb259ca6/productimages/singlepackshot/260528C01_RGB.png","mode":1}</v>
      </c>
      <c r="D1810" s="5" t="str">
        <f ca="1">IFERROR(ROWSDUMMYFUNCTION(IF(A1810="","",CONCATENATE("https://us.pandora.net/on/demandware.static/-/Sites-pandora-master-catalog/default/dwbb259ca6/productimages/singlepackshot/",LEFT(A1810,FIND("-",A1810&amp;"-")-1),"_RGB.png"))),"https://us.pandora.net/on/demandware.static/-/Sites-pandora-master-catalog/default/dwbb259ca6/productimages/singlepackshot/260528C01_RGB.png")</f>
        <v>https://us.pandora.net/on/demandware.static/-/Sites-pandora-master-catalog/default/dwbb259ca6/productimages/singlepackshot/260528C01_RGB.png</v>
      </c>
    </row>
    <row r="1811" spans="1:4" x14ac:dyDescent="0.25">
      <c r="A1811" s="3" t="s">
        <v>1813</v>
      </c>
      <c r="B1811" s="4">
        <v>99</v>
      </c>
      <c r="C1811" s="3" t="str">
        <f ca="1">IFERROR(ROWSDUMMYFUNCTION(IF(A1811="","",IFERROR(IMAGE(CONCATENATE("https://us.pandora.net/on/demandware.static/-/Sites-pandora-master-catalog/default/dwbb259ca6/productimages/singlepackshot/",LEFT(A1811,FIND("-",A1811&amp;"-")-1),"_RGB.png")),""))),"{""url"":""https://us.pandora.net/on/demandware.static/-/Sites-pandora-master-catalog/default/dwbb259ca6/productimages/singlepackshot/261248C01_RGB.png"",""mode"":1}")</f>
        <v>{"url":"https://us.pandora.net/on/demandware.static/-/Sites-pandora-master-catalog/default/dwbb259ca6/productimages/singlepackshot/261248C01_RGB.png","mode":1}</v>
      </c>
      <c r="D1811" s="5" t="str">
        <f ca="1">IFERROR(ROWSDUMMYFUNCTION(IF(A1811="","",CONCATENATE("https://us.pandora.net/on/demandware.static/-/Sites-pandora-master-catalog/default/dwbb259ca6/productimages/singlepackshot/",LEFT(A1811,FIND("-",A1811&amp;"-")-1),"_RGB.png"))),"https://us.pandora.net/on/demandware.static/-/Sites-pandora-master-catalog/default/dwbb259ca6/productimages/singlepackshot/261248C01_RGB.png")</f>
        <v>https://us.pandora.net/on/demandware.static/-/Sites-pandora-master-catalog/default/dwbb259ca6/productimages/singlepackshot/261248C01_RGB.png</v>
      </c>
    </row>
    <row r="1812" spans="1:4" x14ac:dyDescent="0.25">
      <c r="A1812" s="3" t="s">
        <v>1814</v>
      </c>
      <c r="B1812" s="4">
        <v>119</v>
      </c>
      <c r="C1812" s="3" t="str">
        <f ca="1">IFERROR(ROWSDUMMYFUNCTION(IF(A1812="","",IFERROR(IMAGE(CONCATENATE("https://us.pandora.net/on/demandware.static/-/Sites-pandora-master-catalog/default/dwbb259ca6/productimages/singlepackshot/",LEFT(A1812,FIND("-",A1812&amp;"-")-1),"_RGB.png")),""))),"{""url"":""https://us.pandora.net/on/demandware.static/-/Sites-pandora-master-catalog/default/dwbb259ca6/productimages/singlepackshot/262633C01_RGB.png"",""mode"":1}")</f>
        <v>{"url":"https://us.pandora.net/on/demandware.static/-/Sites-pandora-master-catalog/default/dwbb259ca6/productimages/singlepackshot/262633C01_RGB.png","mode":1}</v>
      </c>
      <c r="D1812" s="5" t="str">
        <f ca="1">IFERROR(ROWSDUMMYFUNCTION(IF(A1812="","",CONCATENATE("https://us.pandora.net/on/demandware.static/-/Sites-pandora-master-catalog/default/dwbb259ca6/productimages/singlepackshot/",LEFT(A1812,FIND("-",A1812&amp;"-")-1),"_RGB.png"))),"https://us.pandora.net/on/demandware.static/-/Sites-pandora-master-catalog/default/dwbb259ca6/productimages/singlepackshot/262633C01_RGB.png")</f>
        <v>https://us.pandora.net/on/demandware.static/-/Sites-pandora-master-catalog/default/dwbb259ca6/productimages/singlepackshot/262633C01_RGB.png</v>
      </c>
    </row>
    <row r="1813" spans="1:4" x14ac:dyDescent="0.25">
      <c r="A1813" s="3" t="s">
        <v>1815</v>
      </c>
      <c r="B1813" s="4">
        <v>79</v>
      </c>
      <c r="C1813" s="3" t="str">
        <f ca="1">IFERROR(ROWSDUMMYFUNCTION(IF(A1813="","",IFERROR(IMAGE(CONCATENATE("https://us.pandora.net/on/demandware.static/-/Sites-pandora-master-catalog/default/dwbb259ca6/productimages/singlepackshot/",LEFT(A1813,FIND("-",A1813&amp;"-")-1),"_RGB.png")),""))),"{""url"":""https://us.pandora.net/on/demandware.static/-/Sites-pandora-master-catalog/default/dwbb259ca6/productimages/singlepackshot/262667C01_RGB.png"",""mode"":1}")</f>
        <v>{"url":"https://us.pandora.net/on/demandware.static/-/Sites-pandora-master-catalog/default/dwbb259ca6/productimages/singlepackshot/262667C01_RGB.png","mode":1}</v>
      </c>
      <c r="D1813" s="5" t="str">
        <f ca="1">IFERROR(ROWSDUMMYFUNCTION(IF(A1813="","",CONCATENATE("https://us.pandora.net/on/demandware.static/-/Sites-pandora-master-catalog/default/dwbb259ca6/productimages/singlepackshot/",LEFT(A1813,FIND("-",A1813&amp;"-")-1),"_RGB.png"))),"https://us.pandora.net/on/demandware.static/-/Sites-pandora-master-catalog/default/dwbb259ca6/productimages/singlepackshot/262667C01_RGB.png")</f>
        <v>https://us.pandora.net/on/demandware.static/-/Sites-pandora-master-catalog/default/dwbb259ca6/productimages/singlepackshot/262667C01_RGB.png</v>
      </c>
    </row>
    <row r="1814" spans="1:4" x14ac:dyDescent="0.25">
      <c r="A1814" s="3" t="s">
        <v>1816</v>
      </c>
      <c r="B1814" s="4">
        <v>59</v>
      </c>
      <c r="C1814" s="3" t="str">
        <f ca="1">IFERROR(ROWSDUMMYFUNCTION(IF(A1814="","",IFERROR(IMAGE(CONCATENATE("https://us.pandora.net/on/demandware.static/-/Sites-pandora-master-catalog/default/dwbb259ca6/productimages/singlepackshot/",LEFT(A1814,FIND("-",A1814&amp;"-")-1),"_RGB.png")),""))),"{""url"":""https://us.pandora.net/on/demandware.static/-/Sites-pandora-master-catalog/default/dwbb259ca6/productimages/singlepackshot/262728C00_RGB.png"",""mode"":1}")</f>
        <v>{"url":"https://us.pandora.net/on/demandware.static/-/Sites-pandora-master-catalog/default/dwbb259ca6/productimages/singlepackshot/262728C00_RGB.png","mode":1}</v>
      </c>
      <c r="D1814" s="5" t="str">
        <f ca="1">IFERROR(ROWSDUMMYFUNCTION(IF(A1814="","",CONCATENATE("https://us.pandora.net/on/demandware.static/-/Sites-pandora-master-catalog/default/dwbb259ca6/productimages/singlepackshot/",LEFT(A1814,FIND("-",A1814&amp;"-")-1),"_RGB.png"))),"https://us.pandora.net/on/demandware.static/-/Sites-pandora-master-catalog/default/dwbb259ca6/productimages/singlepackshot/262728C00_RGB.png")</f>
        <v>https://us.pandora.net/on/demandware.static/-/Sites-pandora-master-catalog/default/dwbb259ca6/productimages/singlepackshot/262728C00_RGB.png</v>
      </c>
    </row>
    <row r="1815" spans="1:4" x14ac:dyDescent="0.25">
      <c r="A1815" s="3" t="s">
        <v>1817</v>
      </c>
      <c r="B1815" s="4">
        <v>119</v>
      </c>
      <c r="C1815" s="3" t="str">
        <f ca="1">IFERROR(ROWSDUMMYFUNCTION(IF(A1815="","",IFERROR(IMAGE(CONCATENATE("https://us.pandora.net/on/demandware.static/-/Sites-pandora-master-catalog/default/dwbb259ca6/productimages/singlepackshot/",LEFT(A1815,FIND("-",A1815&amp;"-")-1),"_RGB.png")),""))),"{""url"":""https://us.pandora.net/on/demandware.static/-/Sites-pandora-master-catalog/default/dwbb259ca6/productimages/singlepackshot/262738C01_RGB.png"",""mode"":1}")</f>
        <v>{"url":"https://us.pandora.net/on/demandware.static/-/Sites-pandora-master-catalog/default/dwbb259ca6/productimages/singlepackshot/262738C01_RGB.png","mode":1}</v>
      </c>
      <c r="D1815" s="5" t="str">
        <f ca="1">IFERROR(ROWSDUMMYFUNCTION(IF(A1815="","",CONCATENATE("https://us.pandora.net/on/demandware.static/-/Sites-pandora-master-catalog/default/dwbb259ca6/productimages/singlepackshot/",LEFT(A1815,FIND("-",A1815&amp;"-")-1),"_RGB.png"))),"https://us.pandora.net/on/demandware.static/-/Sites-pandora-master-catalog/default/dwbb259ca6/productimages/singlepackshot/262738C01_RGB.png")</f>
        <v>https://us.pandora.net/on/demandware.static/-/Sites-pandora-master-catalog/default/dwbb259ca6/productimages/singlepackshot/262738C01_RGB.png</v>
      </c>
    </row>
    <row r="1816" spans="1:4" x14ac:dyDescent="0.25">
      <c r="A1816" s="3" t="s">
        <v>1818</v>
      </c>
      <c r="B1816" s="4">
        <v>49</v>
      </c>
      <c r="C1816" s="3" t="str">
        <f ca="1">IFERROR(ROWSDUMMYFUNCTION(IF(A1816="","",IFERROR(IMAGE(CONCATENATE("https://us.pandora.net/on/demandware.static/-/Sites-pandora-master-catalog/default/dwbb259ca6/productimages/singlepackshot/",LEFT(A1816,FIND("-",A1816&amp;"-")-1),"_RGB.png")),""))),"{""url"":""https://us.pandora.net/on/demandware.static/-/Sites-pandora-master-catalog/default/dwbb259ca6/productimages/singlepackshot/262796C01_RGB.png"",""mode"":1}")</f>
        <v>{"url":"https://us.pandora.net/on/demandware.static/-/Sites-pandora-master-catalog/default/dwbb259ca6/productimages/singlepackshot/262796C01_RGB.png","mode":1}</v>
      </c>
      <c r="D1816" s="5" t="str">
        <f ca="1">IFERROR(ROWSDUMMYFUNCTION(IF(A1816="","",CONCATENATE("https://us.pandora.net/on/demandware.static/-/Sites-pandora-master-catalog/default/dwbb259ca6/productimages/singlepackshot/",LEFT(A1816,FIND("-",A1816&amp;"-")-1),"_RGB.png"))),"https://us.pandora.net/on/demandware.static/-/Sites-pandora-master-catalog/default/dwbb259ca6/productimages/singlepackshot/262796C01_RGB.png")</f>
        <v>https://us.pandora.net/on/demandware.static/-/Sites-pandora-master-catalog/default/dwbb259ca6/productimages/singlepackshot/262796C01_RGB.png</v>
      </c>
    </row>
    <row r="1817" spans="1:4" x14ac:dyDescent="0.25">
      <c r="A1817" s="3" t="s">
        <v>1819</v>
      </c>
      <c r="B1817" s="4">
        <v>119</v>
      </c>
      <c r="C1817" s="3" t="str">
        <f ca="1">IFERROR(ROWSDUMMYFUNCTION(IF(A1817="","",IFERROR(IMAGE(CONCATENATE("https://us.pandora.net/on/demandware.static/-/Sites-pandora-master-catalog/default/dwbb259ca6/productimages/singlepackshot/",LEFT(A1817,FIND("-",A1817&amp;"-")-1),"_RGB.png")),""))),"{""url"":""https://us.pandora.net/on/demandware.static/-/Sites-pandora-master-catalog/default/dwbb259ca6/productimages/singlepackshot/263002C01_RGB.png"",""mode"":1}")</f>
        <v>{"url":"https://us.pandora.net/on/demandware.static/-/Sites-pandora-master-catalog/default/dwbb259ca6/productimages/singlepackshot/263002C01_RGB.png","mode":1}</v>
      </c>
      <c r="D1817" s="5" t="str">
        <f ca="1">IFERROR(ROWSDUMMYFUNCTION(IF(A1817="","",CONCATENATE("https://us.pandora.net/on/demandware.static/-/Sites-pandora-master-catalog/default/dwbb259ca6/productimages/singlepackshot/",LEFT(A1817,FIND("-",A1817&amp;"-")-1),"_RGB.png"))),"https://us.pandora.net/on/demandware.static/-/Sites-pandora-master-catalog/default/dwbb259ca6/productimages/singlepackshot/263002C01_RGB.png")</f>
        <v>https://us.pandora.net/on/demandware.static/-/Sites-pandora-master-catalog/default/dwbb259ca6/productimages/singlepackshot/263002C01_RGB.png</v>
      </c>
    </row>
    <row r="1818" spans="1:4" x14ac:dyDescent="0.25">
      <c r="A1818" s="3" t="s">
        <v>1820</v>
      </c>
      <c r="B1818" s="4">
        <v>59</v>
      </c>
      <c r="C1818" s="3" t="str">
        <f ca="1">IFERROR(ROWSDUMMYFUNCTION(IF(A1818="","",IFERROR(IMAGE(CONCATENATE("https://us.pandora.net/on/demandware.static/-/Sites-pandora-master-catalog/default/dwbb259ca6/productimages/singlepackshot/",LEFT(A1818,FIND("-",A1818&amp;"-")-1),"_RGB.png")),""))),"{""url"":""https://us.pandora.net/on/demandware.static/-/Sites-pandora-master-catalog/default/dwbb259ca6/productimages/singlepackshot/263003C01_RGB.png"",""mode"":1}")</f>
        <v>{"url":"https://us.pandora.net/on/demandware.static/-/Sites-pandora-master-catalog/default/dwbb259ca6/productimages/singlepackshot/263003C01_RGB.png","mode":1}</v>
      </c>
      <c r="D1818" s="5" t="str">
        <f ca="1">IFERROR(ROWSDUMMYFUNCTION(IF(A1818="","",CONCATENATE("https://us.pandora.net/on/demandware.static/-/Sites-pandora-master-catalog/default/dwbb259ca6/productimages/singlepackshot/",LEFT(A1818,FIND("-",A1818&amp;"-")-1),"_RGB.png"))),"https://us.pandora.net/on/demandware.static/-/Sites-pandora-master-catalog/default/dwbb259ca6/productimages/singlepackshot/263003C01_RGB.png")</f>
        <v>https://us.pandora.net/on/demandware.static/-/Sites-pandora-master-catalog/default/dwbb259ca6/productimages/singlepackshot/263003C01_RGB.png</v>
      </c>
    </row>
    <row r="1819" spans="1:4" x14ac:dyDescent="0.25">
      <c r="A1819" s="3" t="s">
        <v>1821</v>
      </c>
      <c r="B1819" s="4">
        <v>69</v>
      </c>
      <c r="C1819" s="3" t="str">
        <f ca="1">IFERROR(ROWSDUMMYFUNCTION(IF(A1819="","",IFERROR(IMAGE(CONCATENATE("https://us.pandora.net/on/demandware.static/-/Sites-pandora-master-catalog/default/dwbb259ca6/productimages/singlepackshot/",LEFT(A1819,FIND("-",A1819&amp;"-")-1),"_RGB.png")),""))),"{""url"":""https://us.pandora.net/on/demandware.static/-/Sites-pandora-master-catalog/default/dwbb259ca6/productimages/singlepackshot/263015C01_RGB.png"",""mode"":1}")</f>
        <v>{"url":"https://us.pandora.net/on/demandware.static/-/Sites-pandora-master-catalog/default/dwbb259ca6/productimages/singlepackshot/263015C01_RGB.png","mode":1}</v>
      </c>
      <c r="D1819" s="5" t="str">
        <f ca="1">IFERROR(ROWSDUMMYFUNCTION(IF(A1819="","",CONCATENATE("https://us.pandora.net/on/demandware.static/-/Sites-pandora-master-catalog/default/dwbb259ca6/productimages/singlepackshot/",LEFT(A1819,FIND("-",A1819&amp;"-")-1),"_RGB.png"))),"https://us.pandora.net/on/demandware.static/-/Sites-pandora-master-catalog/default/dwbb259ca6/productimages/singlepackshot/263015C01_RGB.png")</f>
        <v>https://us.pandora.net/on/demandware.static/-/Sites-pandora-master-catalog/default/dwbb259ca6/productimages/singlepackshot/263015C01_RGB.png</v>
      </c>
    </row>
    <row r="1820" spans="1:4" x14ac:dyDescent="0.25">
      <c r="A1820" s="3" t="s">
        <v>1822</v>
      </c>
      <c r="B1820" s="4">
        <v>69</v>
      </c>
      <c r="C1820" s="3" t="str">
        <f ca="1">IFERROR(ROWSDUMMYFUNCTION(IF(A1820="","",IFERROR(IMAGE(CONCATENATE("https://us.pandora.net/on/demandware.static/-/Sites-pandora-master-catalog/default/dwbb259ca6/productimages/singlepackshot/",LEFT(A1820,FIND("-",A1820&amp;"-")-1),"_RGB.png")),""))),"{""url"":""https://us.pandora.net/on/demandware.static/-/Sites-pandora-master-catalog/default/dwbb259ca6/productimages/singlepackshot/263019C01_RGB.png"",""mode"":1}")</f>
        <v>{"url":"https://us.pandora.net/on/demandware.static/-/Sites-pandora-master-catalog/default/dwbb259ca6/productimages/singlepackshot/263019C01_RGB.png","mode":1}</v>
      </c>
      <c r="D1820" s="5" t="str">
        <f ca="1">IFERROR(ROWSDUMMYFUNCTION(IF(A1820="","",CONCATENATE("https://us.pandora.net/on/demandware.static/-/Sites-pandora-master-catalog/default/dwbb259ca6/productimages/singlepackshot/",LEFT(A1820,FIND("-",A1820&amp;"-")-1),"_RGB.png"))),"https://us.pandora.net/on/demandware.static/-/Sites-pandora-master-catalog/default/dwbb259ca6/productimages/singlepackshot/263019C01_RGB.png")</f>
        <v>https://us.pandora.net/on/demandware.static/-/Sites-pandora-master-catalog/default/dwbb259ca6/productimages/singlepackshot/263019C01_RGB.png</v>
      </c>
    </row>
    <row r="1821" spans="1:4" x14ac:dyDescent="0.25">
      <c r="A1821" s="3" t="s">
        <v>1823</v>
      </c>
      <c r="B1821" s="4">
        <v>119</v>
      </c>
      <c r="C1821" s="3" t="str">
        <f ca="1">IFERROR(ROWSDUMMYFUNCTION(IF(A1821="","",IFERROR(IMAGE(CONCATENATE("https://us.pandora.net/on/demandware.static/-/Sites-pandora-master-catalog/default/dwbb259ca6/productimages/singlepackshot/",LEFT(A1821,FIND("-",A1821&amp;"-")-1),"_RGB.png")),""))),"{""url"":""https://us.pandora.net/on/demandware.static/-/Sites-pandora-master-catalog/default/dwbb259ca6/productimages/singlepackshot/263150C01_RGB.png"",""mode"":1}")</f>
        <v>{"url":"https://us.pandora.net/on/demandware.static/-/Sites-pandora-master-catalog/default/dwbb259ca6/productimages/singlepackshot/263150C01_RGB.png","mode":1}</v>
      </c>
      <c r="D1821" s="5" t="str">
        <f ca="1">IFERROR(ROWSDUMMYFUNCTION(IF(A1821="","",CONCATENATE("https://us.pandora.net/on/demandware.static/-/Sites-pandora-master-catalog/default/dwbb259ca6/productimages/singlepackshot/",LEFT(A1821,FIND("-",A1821&amp;"-")-1),"_RGB.png"))),"https://us.pandora.net/on/demandware.static/-/Sites-pandora-master-catalog/default/dwbb259ca6/productimages/singlepackshot/263150C01_RGB.png")</f>
        <v>https://us.pandora.net/on/demandware.static/-/Sites-pandora-master-catalog/default/dwbb259ca6/productimages/singlepackshot/263150C01_RGB.png</v>
      </c>
    </row>
    <row r="1822" spans="1:4" x14ac:dyDescent="0.25">
      <c r="A1822" s="3" t="s">
        <v>1824</v>
      </c>
      <c r="B1822" s="4">
        <v>99</v>
      </c>
      <c r="C1822" s="3" t="str">
        <f ca="1">IFERROR(ROWSDUMMYFUNCTION(IF(A1822="","",IFERROR(IMAGE(CONCATENATE("https://us.pandora.net/on/demandware.static/-/Sites-pandora-master-catalog/default/dwbb259ca6/productimages/singlepackshot/",LEFT(A1822,FIND("-",A1822&amp;"-")-1),"_RGB.png")),""))),"{""url"":""https://us.pandora.net/on/demandware.static/-/Sites-pandora-master-catalog/default/dwbb259ca6/productimages/singlepackshot/263153C01_RGB.png"",""mode"":1}")</f>
        <v>{"url":"https://us.pandora.net/on/demandware.static/-/Sites-pandora-master-catalog/default/dwbb259ca6/productimages/singlepackshot/263153C01_RGB.png","mode":1}</v>
      </c>
      <c r="D1822" s="5" t="str">
        <f ca="1">IFERROR(ROWSDUMMYFUNCTION(IF(A1822="","",CONCATENATE("https://us.pandora.net/on/demandware.static/-/Sites-pandora-master-catalog/default/dwbb259ca6/productimages/singlepackshot/",LEFT(A1822,FIND("-",A1822&amp;"-")-1),"_RGB.png"))),"https://us.pandora.net/on/demandware.static/-/Sites-pandora-master-catalog/default/dwbb259ca6/productimages/singlepackshot/263153C01_RGB.png")</f>
        <v>https://us.pandora.net/on/demandware.static/-/Sites-pandora-master-catalog/default/dwbb259ca6/productimages/singlepackshot/263153C01_RGB.png</v>
      </c>
    </row>
    <row r="1823" spans="1:4" x14ac:dyDescent="0.25">
      <c r="A1823" s="3" t="s">
        <v>1825</v>
      </c>
      <c r="B1823" s="4">
        <v>119</v>
      </c>
      <c r="C1823" s="3" t="str">
        <f ca="1">IFERROR(ROWSDUMMYFUNCTION(IF(A1823="","",IFERROR(IMAGE(CONCATENATE("https://us.pandora.net/on/demandware.static/-/Sites-pandora-master-catalog/default/dwbb259ca6/productimages/singlepackshot/",LEFT(A1823,FIND("-",A1823&amp;"-")-1),"_RGB.png")),""))),"{""url"":""https://us.pandora.net/on/demandware.static/-/Sites-pandora-master-catalog/default/dwbb259ca6/productimages/singlepackshot/263170C01_RGB.png"",""mode"":1}")</f>
        <v>{"url":"https://us.pandora.net/on/demandware.static/-/Sites-pandora-master-catalog/default/dwbb259ca6/productimages/singlepackshot/263170C01_RGB.png","mode":1}</v>
      </c>
      <c r="D1823" s="5" t="str">
        <f ca="1">IFERROR(ROWSDUMMYFUNCTION(IF(A1823="","",CONCATENATE("https://us.pandora.net/on/demandware.static/-/Sites-pandora-master-catalog/default/dwbb259ca6/productimages/singlepackshot/",LEFT(A1823,FIND("-",A1823&amp;"-")-1),"_RGB.png"))),"https://us.pandora.net/on/demandware.static/-/Sites-pandora-master-catalog/default/dwbb259ca6/productimages/singlepackshot/263170C01_RGB.png")</f>
        <v>https://us.pandora.net/on/demandware.static/-/Sites-pandora-master-catalog/default/dwbb259ca6/productimages/singlepackshot/263170C01_RGB.png</v>
      </c>
    </row>
    <row r="1824" spans="1:4" x14ac:dyDescent="0.25">
      <c r="A1824" s="3" t="s">
        <v>1826</v>
      </c>
      <c r="B1824" s="4">
        <v>159</v>
      </c>
      <c r="C1824" s="3" t="str">
        <f ca="1">IFERROR(ROWSDUMMYFUNCTION(IF(A1824="","",IFERROR(IMAGE(CONCATENATE("https://us.pandora.net/on/demandware.static/-/Sites-pandora-master-catalog/default/dwbb259ca6/productimages/singlepackshot/",LEFT(A1824,FIND("-",A1824&amp;"-")-1),"_RGB.png")),""))),"{""url"":""https://us.pandora.net/on/demandware.static/-/Sites-pandora-master-catalog/default/dwbb259ca6/productimages/singlepackshot/263179C01_RGB.png"",""mode"":1}")</f>
        <v>{"url":"https://us.pandora.net/on/demandware.static/-/Sites-pandora-master-catalog/default/dwbb259ca6/productimages/singlepackshot/263179C01_RGB.png","mode":1}</v>
      </c>
      <c r="D1824" s="5" t="str">
        <f ca="1">IFERROR(ROWSDUMMYFUNCTION(IF(A1824="","",CONCATENATE("https://us.pandora.net/on/demandware.static/-/Sites-pandora-master-catalog/default/dwbb259ca6/productimages/singlepackshot/",LEFT(A1824,FIND("-",A1824&amp;"-")-1),"_RGB.png"))),"https://us.pandora.net/on/demandware.static/-/Sites-pandora-master-catalog/default/dwbb259ca6/productimages/singlepackshot/263179C01_RGB.png")</f>
        <v>https://us.pandora.net/on/demandware.static/-/Sites-pandora-master-catalog/default/dwbb259ca6/productimages/singlepackshot/263179C01_RGB.png</v>
      </c>
    </row>
    <row r="1825" spans="1:4" x14ac:dyDescent="0.25">
      <c r="A1825" s="3" t="s">
        <v>1827</v>
      </c>
      <c r="B1825" s="4">
        <v>119</v>
      </c>
      <c r="C1825" s="3" t="str">
        <f ca="1">IFERROR(ROWSDUMMYFUNCTION(IF(A1825="","",IFERROR(IMAGE(CONCATENATE("https://us.pandora.net/on/demandware.static/-/Sites-pandora-master-catalog/default/dwbb259ca6/productimages/singlepackshot/",LEFT(A1825,FIND("-",A1825&amp;"-")-1),"_RGB.png")),""))),"{""url"":""https://us.pandora.net/on/demandware.static/-/Sites-pandora-master-catalog/default/dwbb259ca6/productimages/singlepackshot/263261C01_RGB.png"",""mode"":1}")</f>
        <v>{"url":"https://us.pandora.net/on/demandware.static/-/Sites-pandora-master-catalog/default/dwbb259ca6/productimages/singlepackshot/263261C01_RGB.png","mode":1}</v>
      </c>
      <c r="D1825" s="5" t="str">
        <f ca="1">IFERROR(ROWSDUMMYFUNCTION(IF(A1825="","",CONCATENATE("https://us.pandora.net/on/demandware.static/-/Sites-pandora-master-catalog/default/dwbb259ca6/productimages/singlepackshot/",LEFT(A1825,FIND("-",A1825&amp;"-")-1),"_RGB.png"))),"https://us.pandora.net/on/demandware.static/-/Sites-pandora-master-catalog/default/dwbb259ca6/productimages/singlepackshot/263261C01_RGB.png")</f>
        <v>https://us.pandora.net/on/demandware.static/-/Sites-pandora-master-catalog/default/dwbb259ca6/productimages/singlepackshot/263261C01_RGB.png</v>
      </c>
    </row>
    <row r="1826" spans="1:4" x14ac:dyDescent="0.25">
      <c r="A1826" s="3" t="s">
        <v>1828</v>
      </c>
      <c r="B1826" s="4">
        <v>139</v>
      </c>
      <c r="C1826" s="3" t="str">
        <f ca="1">IFERROR(ROWSDUMMYFUNCTION(IF(A1826="","",IFERROR(IMAGE(CONCATENATE("https://us.pandora.net/on/demandware.static/-/Sites-pandora-master-catalog/default/dwbb259ca6/productimages/singlepackshot/",LEFT(A1826,FIND("-",A1826&amp;"-")-1),"_RGB.png")),""))),"{""url"":""https://us.pandora.net/on/demandware.static/-/Sites-pandora-master-catalog/default/dwbb259ca6/productimages/singlepackshot/263263C01_RGB.png"",""mode"":1}")</f>
        <v>{"url":"https://us.pandora.net/on/demandware.static/-/Sites-pandora-master-catalog/default/dwbb259ca6/productimages/singlepackshot/263263C01_RGB.png","mode":1}</v>
      </c>
      <c r="D1826" s="5" t="str">
        <f ca="1">IFERROR(ROWSDUMMYFUNCTION(IF(A1826="","",CONCATENATE("https://us.pandora.net/on/demandware.static/-/Sites-pandora-master-catalog/default/dwbb259ca6/productimages/singlepackshot/",LEFT(A1826,FIND("-",A1826&amp;"-")-1),"_RGB.png"))),"https://us.pandora.net/on/demandware.static/-/Sites-pandora-master-catalog/default/dwbb259ca6/productimages/singlepackshot/263263C01_RGB.png")</f>
        <v>https://us.pandora.net/on/demandware.static/-/Sites-pandora-master-catalog/default/dwbb259ca6/productimages/singlepackshot/263263C01_RGB.png</v>
      </c>
    </row>
    <row r="1827" spans="1:4" x14ac:dyDescent="0.25">
      <c r="A1827" s="3" t="s">
        <v>1829</v>
      </c>
      <c r="B1827" s="4">
        <v>119</v>
      </c>
      <c r="C1827" s="3" t="str">
        <f ca="1">IFERROR(ROWSDUMMYFUNCTION(IF(A1827="","",IFERROR(IMAGE(CONCATENATE("https://us.pandora.net/on/demandware.static/-/Sites-pandora-master-catalog/default/dwbb259ca6/productimages/singlepackshot/",LEFT(A1827,FIND("-",A1827&amp;"-")-1),"_RGB.png")),""))),"{""url"":""https://us.pandora.net/on/demandware.static/-/Sites-pandora-master-catalog/default/dwbb259ca6/productimages/singlepackshot/263266C00_RGB.png"",""mode"":1}")</f>
        <v>{"url":"https://us.pandora.net/on/demandware.static/-/Sites-pandora-master-catalog/default/dwbb259ca6/productimages/singlepackshot/263266C00_RGB.png","mode":1}</v>
      </c>
      <c r="D1827" s="5" t="str">
        <f ca="1">IFERROR(ROWSDUMMYFUNCTION(IF(A1827="","",CONCATENATE("https://us.pandora.net/on/demandware.static/-/Sites-pandora-master-catalog/default/dwbb259ca6/productimages/singlepackshot/",LEFT(A1827,FIND("-",A1827&amp;"-")-1),"_RGB.png"))),"https://us.pandora.net/on/demandware.static/-/Sites-pandora-master-catalog/default/dwbb259ca6/productimages/singlepackshot/263266C00_RGB.png")</f>
        <v>https://us.pandora.net/on/demandware.static/-/Sites-pandora-master-catalog/default/dwbb259ca6/productimages/singlepackshot/263266C00_RGB.png</v>
      </c>
    </row>
    <row r="1828" spans="1:4" x14ac:dyDescent="0.25">
      <c r="A1828" s="3" t="s">
        <v>1830</v>
      </c>
      <c r="B1828" s="4">
        <v>99</v>
      </c>
      <c r="C1828" s="3" t="str">
        <f ca="1">IFERROR(ROWSDUMMYFUNCTION(IF(A1828="","",IFERROR(IMAGE(CONCATENATE("https://us.pandora.net/on/demandware.static/-/Sites-pandora-master-catalog/default/dwbb259ca6/productimages/singlepackshot/",LEFT(A1828,FIND("-",A1828&amp;"-")-1),"_RGB.png")),""))),"{""url"":""https://us.pandora.net/on/demandware.static/-/Sites-pandora-master-catalog/default/dwbb259ca6/productimages/singlepackshot/263269C00_RGB.png"",""mode"":1}")</f>
        <v>{"url":"https://us.pandora.net/on/demandware.static/-/Sites-pandora-master-catalog/default/dwbb259ca6/productimages/singlepackshot/263269C00_RGB.png","mode":1}</v>
      </c>
      <c r="D1828" s="5" t="str">
        <f ca="1">IFERROR(ROWSDUMMYFUNCTION(IF(A1828="","",CONCATENATE("https://us.pandora.net/on/demandware.static/-/Sites-pandora-master-catalog/default/dwbb259ca6/productimages/singlepackshot/",LEFT(A1828,FIND("-",A1828&amp;"-")-1),"_RGB.png"))),"https://us.pandora.net/on/demandware.static/-/Sites-pandora-master-catalog/default/dwbb259ca6/productimages/singlepackshot/263269C00_RGB.png")</f>
        <v>https://us.pandora.net/on/demandware.static/-/Sites-pandora-master-catalog/default/dwbb259ca6/productimages/singlepackshot/263269C00_RGB.png</v>
      </c>
    </row>
    <row r="1829" spans="1:4" x14ac:dyDescent="0.25">
      <c r="A1829" s="3" t="s">
        <v>1831</v>
      </c>
      <c r="B1829" s="4">
        <v>119</v>
      </c>
      <c r="C1829" s="3" t="str">
        <f ca="1">IFERROR(ROWSDUMMYFUNCTION(IF(A1829="","",IFERROR(IMAGE(CONCATENATE("https://us.pandora.net/on/demandware.static/-/Sites-pandora-master-catalog/default/dwbb259ca6/productimages/singlepackshot/",LEFT(A1829,FIND("-",A1829&amp;"-")-1),"_RGB.png")),""))),"{""url"":""https://us.pandora.net/on/demandware.static/-/Sites-pandora-master-catalog/default/dwbb259ca6/productimages/singlepackshot/263276C01_RGB.png"",""mode"":1}")</f>
        <v>{"url":"https://us.pandora.net/on/demandware.static/-/Sites-pandora-master-catalog/default/dwbb259ca6/productimages/singlepackshot/263276C01_RGB.png","mode":1}</v>
      </c>
      <c r="D1829" s="5" t="str">
        <f ca="1">IFERROR(ROWSDUMMYFUNCTION(IF(A1829="","",CONCATENATE("https://us.pandora.net/on/demandware.static/-/Sites-pandora-master-catalog/default/dwbb259ca6/productimages/singlepackshot/",LEFT(A1829,FIND("-",A1829&amp;"-")-1),"_RGB.png"))),"https://us.pandora.net/on/demandware.static/-/Sites-pandora-master-catalog/default/dwbb259ca6/productimages/singlepackshot/263276C01_RGB.png")</f>
        <v>https://us.pandora.net/on/demandware.static/-/Sites-pandora-master-catalog/default/dwbb259ca6/productimages/singlepackshot/263276C01_RGB.png</v>
      </c>
    </row>
    <row r="1830" spans="1:4" x14ac:dyDescent="0.25">
      <c r="A1830" s="3" t="s">
        <v>1832</v>
      </c>
      <c r="B1830" s="4">
        <v>79</v>
      </c>
      <c r="C1830" s="3" t="str">
        <f ca="1">IFERROR(ROWSDUMMYFUNCTION(IF(A1830="","",IFERROR(IMAGE(CONCATENATE("https://us.pandora.net/on/demandware.static/-/Sites-pandora-master-catalog/default/dwbb259ca6/productimages/singlepackshot/",LEFT(A1830,FIND("-",A1830&amp;"-")-1),"_RGB.png")),""))),"{""url"":""https://us.pandora.net/on/demandware.static/-/Sites-pandora-master-catalog/default/dwbb259ca6/productimages/singlepackshot/263280C00_RGB.png"",""mode"":1}")</f>
        <v>{"url":"https://us.pandora.net/on/demandware.static/-/Sites-pandora-master-catalog/default/dwbb259ca6/productimages/singlepackshot/263280C00_RGB.png","mode":1}</v>
      </c>
      <c r="D1830" s="5" t="str">
        <f ca="1">IFERROR(ROWSDUMMYFUNCTION(IF(A1830="","",CONCATENATE("https://us.pandora.net/on/demandware.static/-/Sites-pandora-master-catalog/default/dwbb259ca6/productimages/singlepackshot/",LEFT(A1830,FIND("-",A1830&amp;"-")-1),"_RGB.png"))),"https://us.pandora.net/on/demandware.static/-/Sites-pandora-master-catalog/default/dwbb259ca6/productimages/singlepackshot/263280C00_RGB.png")</f>
        <v>https://us.pandora.net/on/demandware.static/-/Sites-pandora-master-catalog/default/dwbb259ca6/productimages/singlepackshot/263280C00_RGB.png</v>
      </c>
    </row>
    <row r="1831" spans="1:4" x14ac:dyDescent="0.25">
      <c r="A1831" s="3" t="s">
        <v>1833</v>
      </c>
      <c r="B1831" s="4">
        <v>129</v>
      </c>
      <c r="C1831" s="3" t="str">
        <f ca="1">IFERROR(ROWSDUMMYFUNCTION(IF(A1831="","",IFERROR(IMAGE(CONCATENATE("https://us.pandora.net/on/demandware.static/-/Sites-pandora-master-catalog/default/dwbb259ca6/productimages/singlepackshot/",LEFT(A1831,FIND("-",A1831&amp;"-")-1),"_RGB.png")),""))),"{""url"":""https://us.pandora.net/on/demandware.static/-/Sites-pandora-master-catalog/default/dwbb259ca6/productimages/singlepackshot/263281C01_RGB.png"",""mode"":1}")</f>
        <v>{"url":"https://us.pandora.net/on/demandware.static/-/Sites-pandora-master-catalog/default/dwbb259ca6/productimages/singlepackshot/263281C01_RGB.png","mode":1}</v>
      </c>
      <c r="D1831" s="5" t="str">
        <f ca="1">IFERROR(ROWSDUMMYFUNCTION(IF(A1831="","",CONCATENATE("https://us.pandora.net/on/demandware.static/-/Sites-pandora-master-catalog/default/dwbb259ca6/productimages/singlepackshot/",LEFT(A1831,FIND("-",A1831&amp;"-")-1),"_RGB.png"))),"https://us.pandora.net/on/demandware.static/-/Sites-pandora-master-catalog/default/dwbb259ca6/productimages/singlepackshot/263281C01_RGB.png")</f>
        <v>https://us.pandora.net/on/demandware.static/-/Sites-pandora-master-catalog/default/dwbb259ca6/productimages/singlepackshot/263281C01_RGB.png</v>
      </c>
    </row>
    <row r="1832" spans="1:4" x14ac:dyDescent="0.25">
      <c r="A1832" s="3" t="s">
        <v>1834</v>
      </c>
      <c r="B1832" s="4">
        <v>59</v>
      </c>
      <c r="C1832" s="3" t="str">
        <f ca="1">IFERROR(ROWSDUMMYFUNCTION(IF(A1832="","",IFERROR(IMAGE(CONCATENATE("https://us.pandora.net/on/demandware.static/-/Sites-pandora-master-catalog/default/dwbb259ca6/productimages/singlepackshot/",LEFT(A1832,FIND("-",A1832&amp;"-")-1),"_RGB.png")),""))),"{""url"":""https://us.pandora.net/on/demandware.static/-/Sites-pandora-master-catalog/default/dwbb259ca6/productimages/singlepackshot/263286C00_RGB.png"",""mode"":1}")</f>
        <v>{"url":"https://us.pandora.net/on/demandware.static/-/Sites-pandora-master-catalog/default/dwbb259ca6/productimages/singlepackshot/263286C00_RGB.png","mode":1}</v>
      </c>
      <c r="D1832" s="5" t="str">
        <f ca="1">IFERROR(ROWSDUMMYFUNCTION(IF(A1832="","",CONCATENATE("https://us.pandora.net/on/demandware.static/-/Sites-pandora-master-catalog/default/dwbb259ca6/productimages/singlepackshot/",LEFT(A1832,FIND("-",A1832&amp;"-")-1),"_RGB.png"))),"https://us.pandora.net/on/demandware.static/-/Sites-pandora-master-catalog/default/dwbb259ca6/productimages/singlepackshot/263286C00_RGB.png")</f>
        <v>https://us.pandora.net/on/demandware.static/-/Sites-pandora-master-catalog/default/dwbb259ca6/productimages/singlepackshot/263286C00_RGB.png</v>
      </c>
    </row>
    <row r="1833" spans="1:4" x14ac:dyDescent="0.25">
      <c r="A1833" s="3" t="s">
        <v>1835</v>
      </c>
      <c r="B1833" s="4">
        <v>79</v>
      </c>
      <c r="C1833" s="3" t="str">
        <f ca="1">IFERROR(ROWSDUMMYFUNCTION(IF(A1833="","",IFERROR(IMAGE(CONCATENATE("https://us.pandora.net/on/demandware.static/-/Sites-pandora-master-catalog/default/dwbb259ca6/productimages/singlepackshot/",LEFT(A1833,FIND("-",A1833&amp;"-")-1),"_RGB.png")),""))),"{""url"":""https://us.pandora.net/on/demandware.static/-/Sites-pandora-master-catalog/default/dwbb259ca6/productimages/singlepackshot/263287C00_RGB.png"",""mode"":1}")</f>
        <v>{"url":"https://us.pandora.net/on/demandware.static/-/Sites-pandora-master-catalog/default/dwbb259ca6/productimages/singlepackshot/263287C00_RGB.png","mode":1}</v>
      </c>
      <c r="D1833" s="5" t="str">
        <f ca="1">IFERROR(ROWSDUMMYFUNCTION(IF(A1833="","",CONCATENATE("https://us.pandora.net/on/demandware.static/-/Sites-pandora-master-catalog/default/dwbb259ca6/productimages/singlepackshot/",LEFT(A1833,FIND("-",A1833&amp;"-")-1),"_RGB.png"))),"https://us.pandora.net/on/demandware.static/-/Sites-pandora-master-catalog/default/dwbb259ca6/productimages/singlepackshot/263287C00_RGB.png")</f>
        <v>https://us.pandora.net/on/demandware.static/-/Sites-pandora-master-catalog/default/dwbb259ca6/productimages/singlepackshot/263287C00_RGB.png</v>
      </c>
    </row>
    <row r="1834" spans="1:4" x14ac:dyDescent="0.25">
      <c r="A1834" s="3" t="s">
        <v>1836</v>
      </c>
      <c r="B1834" s="4">
        <v>119</v>
      </c>
      <c r="C1834" s="3" t="str">
        <f ca="1">IFERROR(ROWSDUMMYFUNCTION(IF(A1834="","",IFERROR(IMAGE(CONCATENATE("https://us.pandora.net/on/demandware.static/-/Sites-pandora-master-catalog/default/dwbb259ca6/productimages/singlepackshot/",LEFT(A1834,FIND("-",A1834&amp;"-")-1),"_RGB.png")),""))),"{""url"":""https://us.pandora.net/on/demandware.static/-/Sites-pandora-master-catalog/default/dwbb259ca6/productimages/singlepackshot/263290C00_RGB.png"",""mode"":1}")</f>
        <v>{"url":"https://us.pandora.net/on/demandware.static/-/Sites-pandora-master-catalog/default/dwbb259ca6/productimages/singlepackshot/263290C00_RGB.png","mode":1}</v>
      </c>
      <c r="D1834" s="5" t="str">
        <f ca="1">IFERROR(ROWSDUMMYFUNCTION(IF(A1834="","",CONCATENATE("https://us.pandora.net/on/demandware.static/-/Sites-pandora-master-catalog/default/dwbb259ca6/productimages/singlepackshot/",LEFT(A1834,FIND("-",A1834&amp;"-")-1),"_RGB.png"))),"https://us.pandora.net/on/demandware.static/-/Sites-pandora-master-catalog/default/dwbb259ca6/productimages/singlepackshot/263290C00_RGB.png")</f>
        <v>https://us.pandora.net/on/demandware.static/-/Sites-pandora-master-catalog/default/dwbb259ca6/productimages/singlepackshot/263290C00_RGB.png</v>
      </c>
    </row>
    <row r="1835" spans="1:4" x14ac:dyDescent="0.25">
      <c r="A1835" s="3" t="s">
        <v>1837</v>
      </c>
      <c r="B1835" s="4">
        <v>79</v>
      </c>
      <c r="C1835" s="3" t="str">
        <f ca="1">IFERROR(ROWSDUMMYFUNCTION(IF(A1835="","",IFERROR(IMAGE(CONCATENATE("https://us.pandora.net/on/demandware.static/-/Sites-pandora-master-catalog/default/dwbb259ca6/productimages/singlepackshot/",LEFT(A1835,FIND("-",A1835&amp;"-")-1),"_RGB.png")),""))),"{""url"":""https://us.pandora.net/on/demandware.static/-/Sites-pandora-master-catalog/default/dwbb259ca6/productimages/singlepackshot/263295C01_RGB.png"",""mode"":1}")</f>
        <v>{"url":"https://us.pandora.net/on/demandware.static/-/Sites-pandora-master-catalog/default/dwbb259ca6/productimages/singlepackshot/263295C01_RGB.png","mode":1}</v>
      </c>
      <c r="D1835" s="5" t="str">
        <f ca="1">IFERROR(ROWSDUMMYFUNCTION(IF(A1835="","",CONCATENATE("https://us.pandora.net/on/demandware.static/-/Sites-pandora-master-catalog/default/dwbb259ca6/productimages/singlepackshot/",LEFT(A1835,FIND("-",A1835&amp;"-")-1),"_RGB.png"))),"https://us.pandora.net/on/demandware.static/-/Sites-pandora-master-catalog/default/dwbb259ca6/productimages/singlepackshot/263295C01_RGB.png")</f>
        <v>https://us.pandora.net/on/demandware.static/-/Sites-pandora-master-catalog/default/dwbb259ca6/productimages/singlepackshot/263295C01_RGB.png</v>
      </c>
    </row>
    <row r="1836" spans="1:4" x14ac:dyDescent="0.25">
      <c r="A1836" s="3" t="s">
        <v>1838</v>
      </c>
      <c r="B1836" s="4">
        <v>59</v>
      </c>
      <c r="C1836" s="3" t="str">
        <f ca="1">IFERROR(ROWSDUMMYFUNCTION(IF(A1836="","",IFERROR(IMAGE(CONCATENATE("https://us.pandora.net/on/demandware.static/-/Sites-pandora-master-catalog/default/dwbb259ca6/productimages/singlepackshot/",LEFT(A1836,FIND("-",A1836&amp;"-")-1),"_RGB.png")),""))),"{""url"":""https://us.pandora.net/on/demandware.static/-/Sites-pandora-master-catalog/default/dwbb259ca6/productimages/singlepackshot/263298C00_RGB.png"",""mode"":1}")</f>
        <v>{"url":"https://us.pandora.net/on/demandware.static/-/Sites-pandora-master-catalog/default/dwbb259ca6/productimages/singlepackshot/263298C00_RGB.png","mode":1}</v>
      </c>
      <c r="D1836" s="5" t="str">
        <f ca="1">IFERROR(ROWSDUMMYFUNCTION(IF(A1836="","",CONCATENATE("https://us.pandora.net/on/demandware.static/-/Sites-pandora-master-catalog/default/dwbb259ca6/productimages/singlepackshot/",LEFT(A1836,FIND("-",A1836&amp;"-")-1),"_RGB.png"))),"https://us.pandora.net/on/demandware.static/-/Sites-pandora-master-catalog/default/dwbb259ca6/productimages/singlepackshot/263298C00_RGB.png")</f>
        <v>https://us.pandora.net/on/demandware.static/-/Sites-pandora-master-catalog/default/dwbb259ca6/productimages/singlepackshot/263298C00_RGB.png</v>
      </c>
    </row>
    <row r="1837" spans="1:4" x14ac:dyDescent="0.25">
      <c r="A1837" s="3" t="s">
        <v>1839</v>
      </c>
      <c r="B1837" s="4">
        <v>139</v>
      </c>
      <c r="C1837" s="3" t="str">
        <f ca="1">IFERROR(ROWSDUMMYFUNCTION(IF(A1837="","",IFERROR(IMAGE(CONCATENATE("https://us.pandora.net/on/demandware.static/-/Sites-pandora-master-catalog/default/dwbb259ca6/productimages/singlepackshot/",LEFT(A1837,FIND("-",A1837&amp;"-")-1),"_RGB.png")),""))),"{""url"":""https://us.pandora.net/on/demandware.static/-/Sites-pandora-master-catalog/default/dwbb259ca6/productimages/singlepackshot/263299C00_RGB.png"",""mode"":1}")</f>
        <v>{"url":"https://us.pandora.net/on/demandware.static/-/Sites-pandora-master-catalog/default/dwbb259ca6/productimages/singlepackshot/263299C00_RGB.png","mode":1}</v>
      </c>
      <c r="D1837" s="5" t="str">
        <f ca="1">IFERROR(ROWSDUMMYFUNCTION(IF(A1837="","",CONCATENATE("https://us.pandora.net/on/demandware.static/-/Sites-pandora-master-catalog/default/dwbb259ca6/productimages/singlepackshot/",LEFT(A1837,FIND("-",A1837&amp;"-")-1),"_RGB.png"))),"https://us.pandora.net/on/demandware.static/-/Sites-pandora-master-catalog/default/dwbb259ca6/productimages/singlepackshot/263299C00_RGB.png")</f>
        <v>https://us.pandora.net/on/demandware.static/-/Sites-pandora-master-catalog/default/dwbb259ca6/productimages/singlepackshot/263299C00_RGB.png</v>
      </c>
    </row>
    <row r="1838" spans="1:4" x14ac:dyDescent="0.25">
      <c r="A1838" s="3" t="s">
        <v>1840</v>
      </c>
      <c r="B1838" s="4">
        <v>49</v>
      </c>
      <c r="C1838" s="3" t="str">
        <f ca="1">IFERROR(ROWSDUMMYFUNCTION(IF(A1838="","",IFERROR(IMAGE(CONCATENATE("https://us.pandora.net/on/demandware.static/-/Sites-pandora-master-catalog/default/dwbb259ca6/productimages/singlepackshot/",LEFT(A1838,FIND("-",A1838&amp;"-")-1),"_RGB.png")),""))),"{""url"":""https://us.pandora.net/on/demandware.static/-/Sites-pandora-master-catalog/default/dwbb259ca6/productimages/singlepackshot/263308C00_RGB.png"",""mode"":1}")</f>
        <v>{"url":"https://us.pandora.net/on/demandware.static/-/Sites-pandora-master-catalog/default/dwbb259ca6/productimages/singlepackshot/263308C00_RGB.png","mode":1}</v>
      </c>
      <c r="D1838" s="5" t="str">
        <f ca="1">IFERROR(ROWSDUMMYFUNCTION(IF(A1838="","",CONCATENATE("https://us.pandora.net/on/demandware.static/-/Sites-pandora-master-catalog/default/dwbb259ca6/productimages/singlepackshot/",LEFT(A1838,FIND("-",A1838&amp;"-")-1),"_RGB.png"))),"https://us.pandora.net/on/demandware.static/-/Sites-pandora-master-catalog/default/dwbb259ca6/productimages/singlepackshot/263308C00_RGB.png")</f>
        <v>https://us.pandora.net/on/demandware.static/-/Sites-pandora-master-catalog/default/dwbb259ca6/productimages/singlepackshot/263308C00_RGB.png</v>
      </c>
    </row>
    <row r="1839" spans="1:4" x14ac:dyDescent="0.25">
      <c r="A1839" s="3" t="s">
        <v>1841</v>
      </c>
      <c r="B1839" s="4">
        <v>119</v>
      </c>
      <c r="C1839" s="3" t="str">
        <f ca="1">IFERROR(ROWSDUMMYFUNCTION(IF(A1839="","",IFERROR(IMAGE(CONCATENATE("https://us.pandora.net/on/demandware.static/-/Sites-pandora-master-catalog/default/dwbb259ca6/productimages/singlepackshot/",LEFT(A1839,FIND("-",A1839&amp;"-")-1),"_RGB.png")),""))),"{""url"":""https://us.pandora.net/on/demandware.static/-/Sites-pandora-master-catalog/default/dwbb259ca6/productimages/singlepackshot/263309C01_RGB.png"",""mode"":1}")</f>
        <v>{"url":"https://us.pandora.net/on/demandware.static/-/Sites-pandora-master-catalog/default/dwbb259ca6/productimages/singlepackshot/263309C01_RGB.png","mode":1}</v>
      </c>
      <c r="D1839" s="5" t="str">
        <f ca="1">IFERROR(ROWSDUMMYFUNCTION(IF(A1839="","",CONCATENATE("https://us.pandora.net/on/demandware.static/-/Sites-pandora-master-catalog/default/dwbb259ca6/productimages/singlepackshot/",LEFT(A1839,FIND("-",A1839&amp;"-")-1),"_RGB.png"))),"https://us.pandora.net/on/demandware.static/-/Sites-pandora-master-catalog/default/dwbb259ca6/productimages/singlepackshot/263309C01_RGB.png")</f>
        <v>https://us.pandora.net/on/demandware.static/-/Sites-pandora-master-catalog/default/dwbb259ca6/productimages/singlepackshot/263309C01_RGB.png</v>
      </c>
    </row>
    <row r="1840" spans="1:4" x14ac:dyDescent="0.25">
      <c r="A1840" s="3" t="s">
        <v>1842</v>
      </c>
      <c r="B1840" s="4">
        <v>159</v>
      </c>
      <c r="C1840" s="3" t="str">
        <f ca="1">IFERROR(ROWSDUMMYFUNCTION(IF(A1840="","",IFERROR(IMAGE(CONCATENATE("https://us.pandora.net/on/demandware.static/-/Sites-pandora-master-catalog/default/dwbb259ca6/productimages/singlepackshot/",LEFT(A1840,FIND("-",A1840&amp;"-")-1),"_RGB.png")),""))),"{""url"":""https://us.pandora.net/on/demandware.static/-/Sites-pandora-master-catalog/default/dwbb259ca6/productimages/singlepackshot/263312C00_RGB.png"",""mode"":1}")</f>
        <v>{"url":"https://us.pandora.net/on/demandware.static/-/Sites-pandora-master-catalog/default/dwbb259ca6/productimages/singlepackshot/263312C00_RGB.png","mode":1}</v>
      </c>
      <c r="D1840" s="5" t="str">
        <f ca="1">IFERROR(ROWSDUMMYFUNCTION(IF(A1840="","",CONCATENATE("https://us.pandora.net/on/demandware.static/-/Sites-pandora-master-catalog/default/dwbb259ca6/productimages/singlepackshot/",LEFT(A1840,FIND("-",A1840&amp;"-")-1),"_RGB.png"))),"https://us.pandora.net/on/demandware.static/-/Sites-pandora-master-catalog/default/dwbb259ca6/productimages/singlepackshot/263312C00_RGB.png")</f>
        <v>https://us.pandora.net/on/demandware.static/-/Sites-pandora-master-catalog/default/dwbb259ca6/productimages/singlepackshot/263312C00_RGB.png</v>
      </c>
    </row>
    <row r="1841" spans="1:4" x14ac:dyDescent="0.25">
      <c r="A1841" s="3" t="s">
        <v>1843</v>
      </c>
      <c r="B1841" s="4">
        <v>89</v>
      </c>
      <c r="C1841" s="3" t="str">
        <f ca="1">IFERROR(ROWSDUMMYFUNCTION(IF(A1841="","",IFERROR(IMAGE(CONCATENATE("https://us.pandora.net/on/demandware.static/-/Sites-pandora-master-catalog/default/dwbb259ca6/productimages/singlepackshot/",LEFT(A1841,FIND("-",A1841&amp;"-")-1),"_RGB.png")),""))),"{""url"":""https://us.pandora.net/on/demandware.static/-/Sites-pandora-master-catalog/default/dwbb259ca6/productimages/singlepackshot/263320C00_RGB.png"",""mode"":1}")</f>
        <v>{"url":"https://us.pandora.net/on/demandware.static/-/Sites-pandora-master-catalog/default/dwbb259ca6/productimages/singlepackshot/263320C00_RGB.png","mode":1}</v>
      </c>
      <c r="D1841" s="5" t="str">
        <f ca="1">IFERROR(ROWSDUMMYFUNCTION(IF(A1841="","",CONCATENATE("https://us.pandora.net/on/demandware.static/-/Sites-pandora-master-catalog/default/dwbb259ca6/productimages/singlepackshot/",LEFT(A1841,FIND("-",A1841&amp;"-")-1),"_RGB.png"))),"https://us.pandora.net/on/demandware.static/-/Sites-pandora-master-catalog/default/dwbb259ca6/productimages/singlepackshot/263320C00_RGB.png")</f>
        <v>https://us.pandora.net/on/demandware.static/-/Sites-pandora-master-catalog/default/dwbb259ca6/productimages/singlepackshot/263320C00_RGB.png</v>
      </c>
    </row>
    <row r="1842" spans="1:4" x14ac:dyDescent="0.25">
      <c r="A1842" s="3" t="s">
        <v>1844</v>
      </c>
      <c r="B1842" s="4">
        <v>99</v>
      </c>
      <c r="C1842" s="3" t="str">
        <f ca="1">IFERROR(ROWSDUMMYFUNCTION(IF(A1842="","",IFERROR(IMAGE(CONCATENATE("https://us.pandora.net/on/demandware.static/-/Sites-pandora-master-catalog/default/dwbb259ca6/productimages/singlepackshot/",LEFT(A1842,FIND("-",A1842&amp;"-")-1),"_RGB.png")),""))),"{""url"":""https://us.pandora.net/on/demandware.static/-/Sites-pandora-master-catalog/default/dwbb259ca6/productimages/singlepackshot/263507C01_RGB.png"",""mode"":1}")</f>
        <v>{"url":"https://us.pandora.net/on/demandware.static/-/Sites-pandora-master-catalog/default/dwbb259ca6/productimages/singlepackshot/263507C01_RGB.png","mode":1}</v>
      </c>
      <c r="D1842" s="5" t="str">
        <f ca="1">IFERROR(ROWSDUMMYFUNCTION(IF(A1842="","",CONCATENATE("https://us.pandora.net/on/demandware.static/-/Sites-pandora-master-catalog/default/dwbb259ca6/productimages/singlepackshot/",LEFT(A1842,FIND("-",A1842&amp;"-")-1),"_RGB.png"))),"https://us.pandora.net/on/demandware.static/-/Sites-pandora-master-catalog/default/dwbb259ca6/productimages/singlepackshot/263507C01_RGB.png")</f>
        <v>https://us.pandora.net/on/demandware.static/-/Sites-pandora-master-catalog/default/dwbb259ca6/productimages/singlepackshot/263507C01_RGB.png</v>
      </c>
    </row>
    <row r="1843" spans="1:4" x14ac:dyDescent="0.25">
      <c r="A1843" s="3" t="s">
        <v>1845</v>
      </c>
      <c r="B1843" s="4">
        <v>119</v>
      </c>
      <c r="C1843" s="3" t="str">
        <f ca="1">IFERROR(ROWSDUMMYFUNCTION(IF(A1843="","",IFERROR(IMAGE(CONCATENATE("https://us.pandora.net/on/demandware.static/-/Sites-pandora-master-catalog/default/dwbb259ca6/productimages/singlepackshot/",LEFT(A1843,FIND("-",A1843&amp;"-")-1),"_RGB.png")),""))),"{""url"":""https://us.pandora.net/on/demandware.static/-/Sites-pandora-master-catalog/default/dwbb259ca6/productimages/singlepackshot/263656C01_RGB.png"",""mode"":1}")</f>
        <v>{"url":"https://us.pandora.net/on/demandware.static/-/Sites-pandora-master-catalog/default/dwbb259ca6/productimages/singlepackshot/263656C01_RGB.png","mode":1}</v>
      </c>
      <c r="D1843" s="5" t="str">
        <f ca="1">IFERROR(ROWSDUMMYFUNCTION(IF(A1843="","",CONCATENATE("https://us.pandora.net/on/demandware.static/-/Sites-pandora-master-catalog/default/dwbb259ca6/productimages/singlepackshot/",LEFT(A1843,FIND("-",A1843&amp;"-")-1),"_RGB.png"))),"https://us.pandora.net/on/demandware.static/-/Sites-pandora-master-catalog/default/dwbb259ca6/productimages/singlepackshot/263656C01_RGB.png")</f>
        <v>https://us.pandora.net/on/demandware.static/-/Sites-pandora-master-catalog/default/dwbb259ca6/productimages/singlepackshot/263656C01_RGB.png</v>
      </c>
    </row>
    <row r="1844" spans="1:4" x14ac:dyDescent="0.25">
      <c r="A1844" s="3" t="s">
        <v>1846</v>
      </c>
      <c r="B1844" s="4">
        <v>99</v>
      </c>
      <c r="C1844" s="3" t="str">
        <f ca="1">IFERROR(ROWSDUMMYFUNCTION(IF(A1844="","",IFERROR(IMAGE(CONCATENATE("https://us.pandora.net/on/demandware.static/-/Sites-pandora-master-catalog/default/dwbb259ca6/productimages/singlepackshot/",LEFT(A1844,FIND("-",A1844&amp;"-")-1),"_RGB.png")),""))),"{""url"":""https://us.pandora.net/on/demandware.static/-/Sites-pandora-master-catalog/default/dwbb259ca6/productimages/singlepackshot/263685C01_RGB.png"",""mode"":1}")</f>
        <v>{"url":"https://us.pandora.net/on/demandware.static/-/Sites-pandora-master-catalog/default/dwbb259ca6/productimages/singlepackshot/263685C01_RGB.png","mode":1}</v>
      </c>
      <c r="D1844" s="5" t="str">
        <f ca="1">IFERROR(ROWSDUMMYFUNCTION(IF(A1844="","",CONCATENATE("https://us.pandora.net/on/demandware.static/-/Sites-pandora-master-catalog/default/dwbb259ca6/productimages/singlepackshot/",LEFT(A1844,FIND("-",A1844&amp;"-")-1),"_RGB.png"))),"https://us.pandora.net/on/demandware.static/-/Sites-pandora-master-catalog/default/dwbb259ca6/productimages/singlepackshot/263685C01_RGB.png")</f>
        <v>https://us.pandora.net/on/demandware.static/-/Sites-pandora-master-catalog/default/dwbb259ca6/productimages/singlepackshot/263685C01_RGB.png</v>
      </c>
    </row>
    <row r="1845" spans="1:4" x14ac:dyDescent="0.25">
      <c r="A1845" s="3" t="s">
        <v>1847</v>
      </c>
      <c r="B1845" s="4">
        <v>119</v>
      </c>
      <c r="C1845" s="3" t="str">
        <f ca="1">IFERROR(ROWSDUMMYFUNCTION(IF(A1845="","",IFERROR(IMAGE(CONCATENATE("https://us.pandora.net/on/demandware.static/-/Sites-pandora-master-catalog/default/dwbb259ca6/productimages/singlepackshot/",LEFT(A1845,FIND("-",A1845&amp;"-")-1),"_RGB.png")),""))),"{""url"":""https://us.pandora.net/on/demandware.static/-/Sites-pandora-master-catalog/default/dwbb259ca6/productimages/singlepackshot/263807C00_RGB.png"",""mode"":1}")</f>
        <v>{"url":"https://us.pandora.net/on/demandware.static/-/Sites-pandora-master-catalog/default/dwbb259ca6/productimages/singlepackshot/263807C00_RGB.png","mode":1}</v>
      </c>
      <c r="D1845" s="5" t="str">
        <f ca="1">IFERROR(ROWSDUMMYFUNCTION(IF(A1845="","",CONCATENATE("https://us.pandora.net/on/demandware.static/-/Sites-pandora-master-catalog/default/dwbb259ca6/productimages/singlepackshot/",LEFT(A1845,FIND("-",A1845&amp;"-")-1),"_RGB.png"))),"https://us.pandora.net/on/demandware.static/-/Sites-pandora-master-catalog/default/dwbb259ca6/productimages/singlepackshot/263807C00_RGB.png")</f>
        <v>https://us.pandora.net/on/demandware.static/-/Sites-pandora-master-catalog/default/dwbb259ca6/productimages/singlepackshot/263807C00_RGB.png</v>
      </c>
    </row>
    <row r="1846" spans="1:4" x14ac:dyDescent="0.25">
      <c r="A1846" s="3" t="s">
        <v>1848</v>
      </c>
      <c r="B1846" s="4">
        <v>59</v>
      </c>
      <c r="C1846" s="3" t="str">
        <f ca="1">IFERROR(ROWSDUMMYFUNCTION(IF(A1846="","",IFERROR(IMAGE(CONCATENATE("https://us.pandora.net/on/demandware.static/-/Sites-pandora-master-catalog/default/dwbb259ca6/productimages/singlepackshot/",LEFT(A1846,FIND("-",A1846&amp;"-")-1),"_RGB.png")),""))),"{""url"":""https://us.pandora.net/on/demandware.static/-/Sites-pandora-master-catalog/default/dwbb259ca6/productimages/singlepackshot/263820C01_RGB.png"",""mode"":1}")</f>
        <v>{"url":"https://us.pandora.net/on/demandware.static/-/Sites-pandora-master-catalog/default/dwbb259ca6/productimages/singlepackshot/263820C01_RGB.png","mode":1}</v>
      </c>
      <c r="D1846" s="5" t="str">
        <f ca="1">IFERROR(ROWSDUMMYFUNCTION(IF(A1846="","",CONCATENATE("https://us.pandora.net/on/demandware.static/-/Sites-pandora-master-catalog/default/dwbb259ca6/productimages/singlepackshot/",LEFT(A1846,FIND("-",A1846&amp;"-")-1),"_RGB.png"))),"https://us.pandora.net/on/demandware.static/-/Sites-pandora-master-catalog/default/dwbb259ca6/productimages/singlepackshot/263820C01_RGB.png")</f>
        <v>https://us.pandora.net/on/demandware.static/-/Sites-pandora-master-catalog/default/dwbb259ca6/productimages/singlepackshot/263820C01_RGB.png</v>
      </c>
    </row>
    <row r="1847" spans="1:4" x14ac:dyDescent="0.25">
      <c r="A1847" s="3" t="s">
        <v>1849</v>
      </c>
      <c r="B1847" s="4">
        <v>69</v>
      </c>
      <c r="C1847" s="3" t="str">
        <f ca="1">IFERROR(ROWSDUMMYFUNCTION(IF(A1847="","",IFERROR(IMAGE(CONCATENATE("https://us.pandora.net/on/demandware.static/-/Sites-pandora-master-catalog/default/dwbb259ca6/productimages/singlepackshot/",LEFT(A1847,FIND("-",A1847&amp;"-")-1),"_RGB.png")),""))),"{""url"":""https://us.pandora.net/on/demandware.static/-/Sites-pandora-master-catalog/default/dwbb259ca6/productimages/singlepackshot/263849C01_RGB.png"",""mode"":1}")</f>
        <v>{"url":"https://us.pandora.net/on/demandware.static/-/Sites-pandora-master-catalog/default/dwbb259ca6/productimages/singlepackshot/263849C01_RGB.png","mode":1}</v>
      </c>
      <c r="D1847" s="5" t="str">
        <f ca="1">IFERROR(ROWSDUMMYFUNCTION(IF(A1847="","",CONCATENATE("https://us.pandora.net/on/demandware.static/-/Sites-pandora-master-catalog/default/dwbb259ca6/productimages/singlepackshot/",LEFT(A1847,FIND("-",A1847&amp;"-")-1),"_RGB.png"))),"https://us.pandora.net/on/demandware.static/-/Sites-pandora-master-catalog/default/dwbb259ca6/productimages/singlepackshot/263849C01_RGB.png")</f>
        <v>https://us.pandora.net/on/demandware.static/-/Sites-pandora-master-catalog/default/dwbb259ca6/productimages/singlepackshot/263849C01_RGB.png</v>
      </c>
    </row>
    <row r="1848" spans="1:4" x14ac:dyDescent="0.25">
      <c r="A1848" s="3" t="s">
        <v>1850</v>
      </c>
      <c r="B1848" s="4">
        <v>129</v>
      </c>
      <c r="C1848" s="3" t="str">
        <f ca="1">IFERROR(ROWSDUMMYFUNCTION(IF(A1848="","",IFERROR(IMAGE(CONCATENATE("https://us.pandora.net/on/demandware.static/-/Sites-pandora-master-catalog/default/dwbb259ca6/productimages/singlepackshot/",LEFT(A1848,FIND("-",A1848&amp;"-")-1),"_RGB.png")),""))),"{""url"":""https://us.pandora.net/on/demandware.static/-/Sites-pandora-master-catalog/default/dwbb259ca6/productimages/singlepackshot/263851C01_RGB.png"",""mode"":1}")</f>
        <v>{"url":"https://us.pandora.net/on/demandware.static/-/Sites-pandora-master-catalog/default/dwbb259ca6/productimages/singlepackshot/263851C01_RGB.png","mode":1}</v>
      </c>
      <c r="D1848" s="5" t="str">
        <f ca="1">IFERROR(ROWSDUMMYFUNCTION(IF(A1848="","",CONCATENATE("https://us.pandora.net/on/demandware.static/-/Sites-pandora-master-catalog/default/dwbb259ca6/productimages/singlepackshot/",LEFT(A1848,FIND("-",A1848&amp;"-")-1),"_RGB.png"))),"https://us.pandora.net/on/demandware.static/-/Sites-pandora-master-catalog/default/dwbb259ca6/productimages/singlepackshot/263851C01_RGB.png")</f>
        <v>https://us.pandora.net/on/demandware.static/-/Sites-pandora-master-catalog/default/dwbb259ca6/productimages/singlepackshot/263851C01_RGB.png</v>
      </c>
    </row>
    <row r="1849" spans="1:4" x14ac:dyDescent="0.25">
      <c r="A1849" s="3" t="s">
        <v>1851</v>
      </c>
      <c r="B1849" s="4">
        <v>129</v>
      </c>
      <c r="C1849" s="3" t="str">
        <f ca="1">IFERROR(ROWSDUMMYFUNCTION(IF(A1849="","",IFERROR(IMAGE(CONCATENATE("https://us.pandora.net/on/demandware.static/-/Sites-pandora-master-catalog/default/dwbb259ca6/productimages/singlepackshot/",LEFT(A1849,FIND("-",A1849&amp;"-")-1),"_RGB.png")),""))),"{""url"":""https://us.pandora.net/on/demandware.static/-/Sites-pandora-master-catalog/default/dwbb259ca6/productimages/singlepackshot/263851C02_RGB.png"",""mode"":1}")</f>
        <v>{"url":"https://us.pandora.net/on/demandware.static/-/Sites-pandora-master-catalog/default/dwbb259ca6/productimages/singlepackshot/263851C02_RGB.png","mode":1}</v>
      </c>
      <c r="D1849" s="5" t="str">
        <f ca="1">IFERROR(ROWSDUMMYFUNCTION(IF(A1849="","",CONCATENATE("https://us.pandora.net/on/demandware.static/-/Sites-pandora-master-catalog/default/dwbb259ca6/productimages/singlepackshot/",LEFT(A1849,FIND("-",A1849&amp;"-")-1),"_RGB.png"))),"https://us.pandora.net/on/demandware.static/-/Sites-pandora-master-catalog/default/dwbb259ca6/productimages/singlepackshot/263851C02_RGB.png")</f>
        <v>https://us.pandora.net/on/demandware.static/-/Sites-pandora-master-catalog/default/dwbb259ca6/productimages/singlepackshot/263851C02_RGB.png</v>
      </c>
    </row>
    <row r="1850" spans="1:4" x14ac:dyDescent="0.25">
      <c r="A1850" s="3" t="s">
        <v>1852</v>
      </c>
      <c r="B1850" s="4">
        <v>39</v>
      </c>
      <c r="C1850" s="3" t="str">
        <f ca="1">IFERROR(ROWSDUMMYFUNCTION(IF(A1850="","",IFERROR(IMAGE(CONCATENATE("https://us.pandora.net/on/demandware.static/-/Sites-pandora-master-catalog/default/dwbb259ca6/productimages/singlepackshot/",LEFT(A1850,FIND("-",A1850&amp;"-")-1),"_RGB.png")),""))),"{""url"":""https://us.pandora.net/on/demandware.static/-/Sites-pandora-master-catalog/default/dwbb259ca6/productimages/singlepackshot/263856C00_RGB.png"",""mode"":1}")</f>
        <v>{"url":"https://us.pandora.net/on/demandware.static/-/Sites-pandora-master-catalog/default/dwbb259ca6/productimages/singlepackshot/263856C00_RGB.png","mode":1}</v>
      </c>
      <c r="D1850" s="5" t="str">
        <f ca="1">IFERROR(ROWSDUMMYFUNCTION(IF(A1850="","",CONCATENATE("https://us.pandora.net/on/demandware.static/-/Sites-pandora-master-catalog/default/dwbb259ca6/productimages/singlepackshot/",LEFT(A1850,FIND("-",A1850&amp;"-")-1),"_RGB.png"))),"https://us.pandora.net/on/demandware.static/-/Sites-pandora-master-catalog/default/dwbb259ca6/productimages/singlepackshot/263856C00_RGB.png")</f>
        <v>https://us.pandora.net/on/demandware.static/-/Sites-pandora-master-catalog/default/dwbb259ca6/productimages/singlepackshot/263856C00_RGB.png</v>
      </c>
    </row>
    <row r="1851" spans="1:4" x14ac:dyDescent="0.25">
      <c r="A1851" s="3" t="s">
        <v>1853</v>
      </c>
      <c r="B1851" s="4">
        <v>129</v>
      </c>
      <c r="C1851" s="3" t="str">
        <f ca="1">IFERROR(ROWSDUMMYFUNCTION(IF(A1851="","",IFERROR(IMAGE(CONCATENATE("https://us.pandora.net/on/demandware.static/-/Sites-pandora-master-catalog/default/dwbb259ca6/productimages/singlepackshot/",LEFT(A1851,FIND("-",A1851&amp;"-")-1),"_RGB.png")),""))),"{""url"":""https://us.pandora.net/on/demandware.static/-/Sites-pandora-master-catalog/default/dwbb259ca6/productimages/singlepackshot/263870C00_RGB.png"",""mode"":1}")</f>
        <v>{"url":"https://us.pandora.net/on/demandware.static/-/Sites-pandora-master-catalog/default/dwbb259ca6/productimages/singlepackshot/263870C00_RGB.png","mode":1}</v>
      </c>
      <c r="D1851" s="5" t="str">
        <f ca="1">IFERROR(ROWSDUMMYFUNCTION(IF(A1851="","",CONCATENATE("https://us.pandora.net/on/demandware.static/-/Sites-pandora-master-catalog/default/dwbb259ca6/productimages/singlepackshot/",LEFT(A1851,FIND("-",A1851&amp;"-")-1),"_RGB.png"))),"https://us.pandora.net/on/demandware.static/-/Sites-pandora-master-catalog/default/dwbb259ca6/productimages/singlepackshot/263870C00_RGB.png")</f>
        <v>https://us.pandora.net/on/demandware.static/-/Sites-pandora-master-catalog/default/dwbb259ca6/productimages/singlepackshot/263870C00_RGB.png</v>
      </c>
    </row>
    <row r="1852" spans="1:4" x14ac:dyDescent="0.25">
      <c r="A1852" s="3" t="s">
        <v>1854</v>
      </c>
      <c r="B1852" s="4">
        <v>69</v>
      </c>
      <c r="C1852" s="3" t="str">
        <f ca="1">IFERROR(ROWSDUMMYFUNCTION(IF(A1852="","",IFERROR(IMAGE(CONCATENATE("https://us.pandora.net/on/demandware.static/-/Sites-pandora-master-catalog/default/dwbb259ca6/productimages/singlepackshot/",LEFT(A1852,FIND("-",A1852&amp;"-")-1),"_RGB.png")),""))),"{""url"":""https://us.pandora.net/on/demandware.static/-/Sites-pandora-master-catalog/default/dwbb259ca6/productimages/singlepackshot/263871C00_RGB.png"",""mode"":1}")</f>
        <v>{"url":"https://us.pandora.net/on/demandware.static/-/Sites-pandora-master-catalog/default/dwbb259ca6/productimages/singlepackshot/263871C00_RGB.png","mode":1}</v>
      </c>
      <c r="D1852" s="5" t="str">
        <f ca="1">IFERROR(ROWSDUMMYFUNCTION(IF(A1852="","",CONCATENATE("https://us.pandora.net/on/demandware.static/-/Sites-pandora-master-catalog/default/dwbb259ca6/productimages/singlepackshot/",LEFT(A1852,FIND("-",A1852&amp;"-")-1),"_RGB.png"))),"https://us.pandora.net/on/demandware.static/-/Sites-pandora-master-catalog/default/dwbb259ca6/productimages/singlepackshot/263871C00_RGB.png")</f>
        <v>https://us.pandora.net/on/demandware.static/-/Sites-pandora-master-catalog/default/dwbb259ca6/productimages/singlepackshot/263871C00_RGB.png</v>
      </c>
    </row>
    <row r="1853" spans="1:4" x14ac:dyDescent="0.25">
      <c r="A1853" s="3" t="s">
        <v>1855</v>
      </c>
      <c r="B1853" s="4">
        <v>79</v>
      </c>
      <c r="C1853" s="3" t="str">
        <f ca="1">IFERROR(ROWSDUMMYFUNCTION(IF(A1853="","",IFERROR(IMAGE(CONCATENATE("https://us.pandora.net/on/demandware.static/-/Sites-pandora-master-catalog/default/dwbb259ca6/productimages/singlepackshot/",LEFT(A1853,FIND("-",A1853&amp;"-")-1),"_RGB.png")),""))),"{""url"":""https://us.pandora.net/on/demandware.static/-/Sites-pandora-master-catalog/default/dwbb259ca6/productimages/singlepackshot/263873C00_RGB.png"",""mode"":1}")</f>
        <v>{"url":"https://us.pandora.net/on/demandware.static/-/Sites-pandora-master-catalog/default/dwbb259ca6/productimages/singlepackshot/263873C00_RGB.png","mode":1}</v>
      </c>
      <c r="D1853" s="5" t="str">
        <f ca="1">IFERROR(ROWSDUMMYFUNCTION(IF(A1853="","",CONCATENATE("https://us.pandora.net/on/demandware.static/-/Sites-pandora-master-catalog/default/dwbb259ca6/productimages/singlepackshot/",LEFT(A1853,FIND("-",A1853&amp;"-")-1),"_RGB.png"))),"https://us.pandora.net/on/demandware.static/-/Sites-pandora-master-catalog/default/dwbb259ca6/productimages/singlepackshot/263873C00_RGB.png")</f>
        <v>https://us.pandora.net/on/demandware.static/-/Sites-pandora-master-catalog/default/dwbb259ca6/productimages/singlepackshot/263873C00_RGB.png</v>
      </c>
    </row>
    <row r="1854" spans="1:4" x14ac:dyDescent="0.25">
      <c r="A1854" s="3" t="s">
        <v>1856</v>
      </c>
      <c r="B1854" s="4">
        <v>119</v>
      </c>
      <c r="C1854" s="3" t="str">
        <f ca="1">IFERROR(ROWSDUMMYFUNCTION(IF(A1854="","",IFERROR(IMAGE(CONCATENATE("https://us.pandora.net/on/demandware.static/-/Sites-pandora-master-catalog/default/dwbb259ca6/productimages/singlepackshot/",LEFT(A1854,FIND("-",A1854&amp;"-")-1),"_RGB.png")),""))),"{""url"":""https://us.pandora.net/on/demandware.static/-/Sites-pandora-master-catalog/default/dwbb259ca6/productimages/singlepackshot/263874C00_RGB.png"",""mode"":1}")</f>
        <v>{"url":"https://us.pandora.net/on/demandware.static/-/Sites-pandora-master-catalog/default/dwbb259ca6/productimages/singlepackshot/263874C00_RGB.png","mode":1}</v>
      </c>
      <c r="D1854" s="5" t="str">
        <f ca="1">IFERROR(ROWSDUMMYFUNCTION(IF(A1854="","",CONCATENATE("https://us.pandora.net/on/demandware.static/-/Sites-pandora-master-catalog/default/dwbb259ca6/productimages/singlepackshot/",LEFT(A1854,FIND("-",A1854&amp;"-")-1),"_RGB.png"))),"https://us.pandora.net/on/demandware.static/-/Sites-pandora-master-catalog/default/dwbb259ca6/productimages/singlepackshot/263874C00_RGB.png")</f>
        <v>https://us.pandora.net/on/demandware.static/-/Sites-pandora-master-catalog/default/dwbb259ca6/productimages/singlepackshot/263874C00_RGB.png</v>
      </c>
    </row>
    <row r="1855" spans="1:4" x14ac:dyDescent="0.25">
      <c r="A1855" s="3" t="s">
        <v>1857</v>
      </c>
      <c r="B1855" s="4">
        <v>89</v>
      </c>
      <c r="C1855" s="3" t="str">
        <f ca="1">IFERROR(ROWSDUMMYFUNCTION(IF(A1855="","",IFERROR(IMAGE(CONCATENATE("https://us.pandora.net/on/demandware.static/-/Sites-pandora-master-catalog/default/dwbb259ca6/productimages/singlepackshot/",LEFT(A1855,FIND("-",A1855&amp;"-")-1),"_RGB.png")),""))),"{""url"":""https://us.pandora.net/on/demandware.static/-/Sites-pandora-master-catalog/default/dwbb259ca6/productimages/singlepackshot/263875C00_RGB.png"",""mode"":1}")</f>
        <v>{"url":"https://us.pandora.net/on/demandware.static/-/Sites-pandora-master-catalog/default/dwbb259ca6/productimages/singlepackshot/263875C00_RGB.png","mode":1}</v>
      </c>
      <c r="D1855" s="5" t="str">
        <f ca="1">IFERROR(ROWSDUMMYFUNCTION(IF(A1855="","",CONCATENATE("https://us.pandora.net/on/demandware.static/-/Sites-pandora-master-catalog/default/dwbb259ca6/productimages/singlepackshot/",LEFT(A1855,FIND("-",A1855&amp;"-")-1),"_RGB.png"))),"https://us.pandora.net/on/demandware.static/-/Sites-pandora-master-catalog/default/dwbb259ca6/productimages/singlepackshot/263875C00_RGB.png")</f>
        <v>https://us.pandora.net/on/demandware.static/-/Sites-pandora-master-catalog/default/dwbb259ca6/productimages/singlepackshot/263875C00_RGB.png</v>
      </c>
    </row>
    <row r="1856" spans="1:4" x14ac:dyDescent="0.25">
      <c r="A1856" s="3" t="s">
        <v>1858</v>
      </c>
      <c r="B1856" s="4">
        <v>119</v>
      </c>
      <c r="C1856" s="3" t="str">
        <f ca="1">IFERROR(ROWSDUMMYFUNCTION(IF(A1856="","",IFERROR(IMAGE(CONCATENATE("https://us.pandora.net/on/demandware.static/-/Sites-pandora-master-catalog/default/dwbb259ca6/productimages/singlepackshot/",LEFT(A1856,FIND("-",A1856&amp;"-")-1),"_RGB.png")),""))),"{""url"":""https://us.pandora.net/on/demandware.static/-/Sites-pandora-master-catalog/default/dwbb259ca6/productimages/singlepackshot/263876C00_RGB.png"",""mode"":1}")</f>
        <v>{"url":"https://us.pandora.net/on/demandware.static/-/Sites-pandora-master-catalog/default/dwbb259ca6/productimages/singlepackshot/263876C00_RGB.png","mode":1}</v>
      </c>
      <c r="D1856" s="5" t="str">
        <f ca="1">IFERROR(ROWSDUMMYFUNCTION(IF(A1856="","",CONCATENATE("https://us.pandora.net/on/demandware.static/-/Sites-pandora-master-catalog/default/dwbb259ca6/productimages/singlepackshot/",LEFT(A1856,FIND("-",A1856&amp;"-")-1),"_RGB.png"))),"https://us.pandora.net/on/demandware.static/-/Sites-pandora-master-catalog/default/dwbb259ca6/productimages/singlepackshot/263876C00_RGB.png")</f>
        <v>https://us.pandora.net/on/demandware.static/-/Sites-pandora-master-catalog/default/dwbb259ca6/productimages/singlepackshot/263876C00_RGB.png</v>
      </c>
    </row>
    <row r="1857" spans="1:4" x14ac:dyDescent="0.25">
      <c r="A1857" s="3" t="s">
        <v>1859</v>
      </c>
      <c r="B1857" s="4">
        <v>89</v>
      </c>
      <c r="C1857" s="3" t="str">
        <f ca="1">IFERROR(ROWSDUMMYFUNCTION(IF(A1857="","",IFERROR(IMAGE(CONCATENATE("https://us.pandora.net/on/demandware.static/-/Sites-pandora-master-catalog/default/dwbb259ca6/productimages/singlepackshot/",LEFT(A1857,FIND("-",A1857&amp;"-")-1),"_RGB.png")),""))),"{""url"":""https://us.pandora.net/on/demandware.static/-/Sites-pandora-master-catalog/default/dwbb259ca6/productimages/singlepackshot/263878C00_RGB.png"",""mode"":1}")</f>
        <v>{"url":"https://us.pandora.net/on/demandware.static/-/Sites-pandora-master-catalog/default/dwbb259ca6/productimages/singlepackshot/263878C00_RGB.png","mode":1}</v>
      </c>
      <c r="D1857" s="5" t="str">
        <f ca="1">IFERROR(ROWSDUMMYFUNCTION(IF(A1857="","",CONCATENATE("https://us.pandora.net/on/demandware.static/-/Sites-pandora-master-catalog/default/dwbb259ca6/productimages/singlepackshot/",LEFT(A1857,FIND("-",A1857&amp;"-")-1),"_RGB.png"))),"https://us.pandora.net/on/demandware.static/-/Sites-pandora-master-catalog/default/dwbb259ca6/productimages/singlepackshot/263878C00_RGB.png")</f>
        <v>https://us.pandora.net/on/demandware.static/-/Sites-pandora-master-catalog/default/dwbb259ca6/productimages/singlepackshot/263878C00_RGB.png</v>
      </c>
    </row>
    <row r="1858" spans="1:4" x14ac:dyDescent="0.25">
      <c r="A1858" s="3" t="s">
        <v>1860</v>
      </c>
      <c r="B1858" s="4">
        <v>139</v>
      </c>
      <c r="C1858" s="3" t="str">
        <f ca="1">IFERROR(ROWSDUMMYFUNCTION(IF(A1858="","",IFERROR(IMAGE(CONCATENATE("https://us.pandora.net/on/demandware.static/-/Sites-pandora-master-catalog/default/dwbb259ca6/productimages/singlepackshot/",LEFT(A1858,FIND("-",A1858&amp;"-")-1),"_RGB.png")),""))),"{""url"":""https://us.pandora.net/on/demandware.static/-/Sites-pandora-master-catalog/default/dwbb259ca6/productimages/singlepackshot/263879C00_RGB.png"",""mode"":1}")</f>
        <v>{"url":"https://us.pandora.net/on/demandware.static/-/Sites-pandora-master-catalog/default/dwbb259ca6/productimages/singlepackshot/263879C00_RGB.png","mode":1}</v>
      </c>
      <c r="D1858" s="5" t="str">
        <f ca="1">IFERROR(ROWSDUMMYFUNCTION(IF(A1858="","",CONCATENATE("https://us.pandora.net/on/demandware.static/-/Sites-pandora-master-catalog/default/dwbb259ca6/productimages/singlepackshot/",LEFT(A1858,FIND("-",A1858&amp;"-")-1),"_RGB.png"))),"https://us.pandora.net/on/demandware.static/-/Sites-pandora-master-catalog/default/dwbb259ca6/productimages/singlepackshot/263879C00_RGB.png")</f>
        <v>https://us.pandora.net/on/demandware.static/-/Sites-pandora-master-catalog/default/dwbb259ca6/productimages/singlepackshot/263879C00_RGB.png</v>
      </c>
    </row>
    <row r="1859" spans="1:4" x14ac:dyDescent="0.25">
      <c r="A1859" s="3" t="s">
        <v>1861</v>
      </c>
      <c r="B1859" s="4">
        <v>99</v>
      </c>
      <c r="C1859" s="3" t="str">
        <f ca="1">IFERROR(ROWSDUMMYFUNCTION(IF(A1859="","",IFERROR(IMAGE(CONCATENATE("https://us.pandora.net/on/demandware.static/-/Sites-pandora-master-catalog/default/dwbb259ca6/productimages/singlepackshot/",LEFT(A1859,FIND("-",A1859&amp;"-")-1),"_RGB.png")),""))),"{""url"":""https://us.pandora.net/on/demandware.static/-/Sites-pandora-master-catalog/default/dwbb259ca6/productimages/singlepackshot/263880C00_RGB.png"",""mode"":1}")</f>
        <v>{"url":"https://us.pandora.net/on/demandware.static/-/Sites-pandora-master-catalog/default/dwbb259ca6/productimages/singlepackshot/263880C00_RGB.png","mode":1}</v>
      </c>
      <c r="D1859" s="5" t="str">
        <f ca="1">IFERROR(ROWSDUMMYFUNCTION(IF(A1859="","",CONCATENATE("https://us.pandora.net/on/demandware.static/-/Sites-pandora-master-catalog/default/dwbb259ca6/productimages/singlepackshot/",LEFT(A1859,FIND("-",A1859&amp;"-")-1),"_RGB.png"))),"https://us.pandora.net/on/demandware.static/-/Sites-pandora-master-catalog/default/dwbb259ca6/productimages/singlepackshot/263880C00_RGB.png")</f>
        <v>https://us.pandora.net/on/demandware.static/-/Sites-pandora-master-catalog/default/dwbb259ca6/productimages/singlepackshot/263880C00_RGB.png</v>
      </c>
    </row>
    <row r="1860" spans="1:4" x14ac:dyDescent="0.25">
      <c r="A1860" s="3" t="s">
        <v>1862</v>
      </c>
      <c r="B1860" s="4">
        <v>69</v>
      </c>
      <c r="C1860" s="3" t="str">
        <f ca="1">IFERROR(ROWSDUMMYFUNCTION(IF(A1860="","",IFERROR(IMAGE(CONCATENATE("https://us.pandora.net/on/demandware.static/-/Sites-pandora-master-catalog/default/dwbb259ca6/productimages/singlepackshot/",LEFT(A1860,FIND("-",A1860&amp;"-")-1),"_RGB.png")),""))),"{""url"":""https://us.pandora.net/on/demandware.static/-/Sites-pandora-master-catalog/default/dwbb259ca6/productimages/singlepackshot/264264C01_RGB.png"",""mode"":1}")</f>
        <v>{"url":"https://us.pandora.net/on/demandware.static/-/Sites-pandora-master-catalog/default/dwbb259ca6/productimages/singlepackshot/264264C01_RGB.png","mode":1}</v>
      </c>
      <c r="D1860" s="5" t="str">
        <f ca="1">IFERROR(ROWSDUMMYFUNCTION(IF(A1860="","",CONCATENATE("https://us.pandora.net/on/demandware.static/-/Sites-pandora-master-catalog/default/dwbb259ca6/productimages/singlepackshot/",LEFT(A1860,FIND("-",A1860&amp;"-")-1),"_RGB.png"))),"https://us.pandora.net/on/demandware.static/-/Sites-pandora-master-catalog/default/dwbb259ca6/productimages/singlepackshot/264264C01_RGB.png")</f>
        <v>https://us.pandora.net/on/demandware.static/-/Sites-pandora-master-catalog/default/dwbb259ca6/productimages/singlepackshot/264264C01_RGB.png</v>
      </c>
    </row>
    <row r="1861" spans="1:4" x14ac:dyDescent="0.25">
      <c r="A1861" s="3" t="s">
        <v>1863</v>
      </c>
      <c r="B1861" s="4">
        <v>89</v>
      </c>
      <c r="C1861" s="3" t="str">
        <f ca="1">IFERROR(ROWSDUMMYFUNCTION(IF(A1861="","",IFERROR(IMAGE(CONCATENATE("https://us.pandora.net/on/demandware.static/-/Sites-pandora-master-catalog/default/dwbb259ca6/productimages/singlepackshot/",LEFT(A1861,FIND("-",A1861&amp;"-")-1),"_RGB.png")),""))),"{""url"":""https://us.pandora.net/on/demandware.static/-/Sites-pandora-master-catalog/default/dwbb259ca6/productimages/singlepackshot/266317C01_RGB.png"",""mode"":1}")</f>
        <v>{"url":"https://us.pandora.net/on/demandware.static/-/Sites-pandora-master-catalog/default/dwbb259ca6/productimages/singlepackshot/266317C01_RGB.png","mode":1}</v>
      </c>
      <c r="D1861" s="5" t="str">
        <f ca="1">IFERROR(ROWSDUMMYFUNCTION(IF(A1861="","",CONCATENATE("https://us.pandora.net/on/demandware.static/-/Sites-pandora-master-catalog/default/dwbb259ca6/productimages/singlepackshot/",LEFT(A1861,FIND("-",A1861&amp;"-")-1),"_RGB.png"))),"https://us.pandora.net/on/demandware.static/-/Sites-pandora-master-catalog/default/dwbb259ca6/productimages/singlepackshot/266317C01_RGB.png")</f>
        <v>https://us.pandora.net/on/demandware.static/-/Sites-pandora-master-catalog/default/dwbb259ca6/productimages/singlepackshot/266317C01_RGB.png</v>
      </c>
    </row>
    <row r="1862" spans="1:4" x14ac:dyDescent="0.25">
      <c r="A1862" s="3" t="s">
        <v>1864</v>
      </c>
      <c r="B1862" s="4">
        <v>49</v>
      </c>
      <c r="C1862" s="3" t="str">
        <f ca="1">IFERROR(ROWSDUMMYFUNCTION(IF(A1862="","",IFERROR(IMAGE(CONCATENATE("https://us.pandora.net/on/demandware.static/-/Sites-pandora-master-catalog/default/dwbb259ca6/productimages/singlepackshot/",LEFT(A1862,FIND("-",A1862&amp;"-")-1),"_RGB.png")),""))),"{""url"":""https://us.pandora.net/on/demandware.static/-/Sites-pandora-master-catalog/default/dwbb259ca6/productimages/singlepackshot/268307C00_RGB.png"",""mode"":1}")</f>
        <v>{"url":"https://us.pandora.net/on/demandware.static/-/Sites-pandora-master-catalog/default/dwbb259ca6/productimages/singlepackshot/268307C00_RGB.png","mode":1}</v>
      </c>
      <c r="D1862" s="5" t="str">
        <f ca="1">IFERROR(ROWSDUMMYFUNCTION(IF(A1862="","",CONCATENATE("https://us.pandora.net/on/demandware.static/-/Sites-pandora-master-catalog/default/dwbb259ca6/productimages/singlepackshot/",LEFT(A1862,FIND("-",A1862&amp;"-")-1),"_RGB.png"))),"https://us.pandora.net/on/demandware.static/-/Sites-pandora-master-catalog/default/dwbb259ca6/productimages/singlepackshot/268307C00_RGB.png")</f>
        <v>https://us.pandora.net/on/demandware.static/-/Sites-pandora-master-catalog/default/dwbb259ca6/productimages/singlepackshot/268307C00_RGB.png</v>
      </c>
    </row>
    <row r="1863" spans="1:4" x14ac:dyDescent="0.25">
      <c r="A1863" s="3" t="s">
        <v>1865</v>
      </c>
      <c r="B1863" s="4">
        <v>99</v>
      </c>
      <c r="C1863" s="3" t="str">
        <f ca="1">IFERROR(ROWSDUMMYFUNCTION(IF(A1863="","",IFERROR(IMAGE(CONCATENATE("https://us.pandora.net/on/demandware.static/-/Sites-pandora-master-catalog/default/dwbb259ca6/productimages/singlepackshot/",LEFT(A1863,FIND("-",A1863&amp;"-")-1),"_RGB.png")),""))),"{""url"":""https://us.pandora.net/on/demandware.static/-/Sites-pandora-master-catalog/default/dwbb259ca6/productimages/singlepackshot/268427C01_RGB.png"",""mode"":1}")</f>
        <v>{"url":"https://us.pandora.net/on/demandware.static/-/Sites-pandora-master-catalog/default/dwbb259ca6/productimages/singlepackshot/268427C01_RGB.png","mode":1}</v>
      </c>
      <c r="D1863" s="5" t="str">
        <f ca="1">IFERROR(ROWSDUMMYFUNCTION(IF(A1863="","",CONCATENATE("https://us.pandora.net/on/demandware.static/-/Sites-pandora-master-catalog/default/dwbb259ca6/productimages/singlepackshot/",LEFT(A1863,FIND("-",A1863&amp;"-")-1),"_RGB.png"))),"https://us.pandora.net/on/demandware.static/-/Sites-pandora-master-catalog/default/dwbb259ca6/productimages/singlepackshot/268427C01_RGB.png")</f>
        <v>https://us.pandora.net/on/demandware.static/-/Sites-pandora-master-catalog/default/dwbb259ca6/productimages/singlepackshot/268427C01_RGB.png</v>
      </c>
    </row>
    <row r="1864" spans="1:4" x14ac:dyDescent="0.25">
      <c r="A1864" s="3" t="s">
        <v>1866</v>
      </c>
      <c r="B1864" s="4">
        <v>99</v>
      </c>
      <c r="C1864" s="3" t="str">
        <f ca="1">IFERROR(ROWSDUMMYFUNCTION(IF(A1864="","",IFERROR(IMAGE(CONCATENATE("https://us.pandora.net/on/demandware.static/-/Sites-pandora-master-catalog/default/dwbb259ca6/productimages/singlepackshot/",LEFT(A1864,FIND("-",A1864&amp;"-")-1),"_RGB.png")),""))),"{""url"":""https://us.pandora.net/on/demandware.static/-/Sites-pandora-master-catalog/default/dwbb259ca6/productimages/singlepackshot/268427C02_RGB.png"",""mode"":1}")</f>
        <v>{"url":"https://us.pandora.net/on/demandware.static/-/Sites-pandora-master-catalog/default/dwbb259ca6/productimages/singlepackshot/268427C02_RGB.png","mode":1}</v>
      </c>
      <c r="D1864" s="5" t="str">
        <f ca="1">IFERROR(ROWSDUMMYFUNCTION(IF(A1864="","",CONCATENATE("https://us.pandora.net/on/demandware.static/-/Sites-pandora-master-catalog/default/dwbb259ca6/productimages/singlepackshot/",LEFT(A1864,FIND("-",A1864&amp;"-")-1),"_RGB.png"))),"https://us.pandora.net/on/demandware.static/-/Sites-pandora-master-catalog/default/dwbb259ca6/productimages/singlepackshot/268427C02_RGB.png")</f>
        <v>https://us.pandora.net/on/demandware.static/-/Sites-pandora-master-catalog/default/dwbb259ca6/productimages/singlepackshot/268427C02_RGB.png</v>
      </c>
    </row>
    <row r="1865" spans="1:4" x14ac:dyDescent="0.25">
      <c r="A1865" s="3" t="s">
        <v>1867</v>
      </c>
      <c r="B1865" s="4">
        <v>49</v>
      </c>
      <c r="C1865" s="3" t="str">
        <f ca="1">IFERROR(ROWSDUMMYFUNCTION(IF(A1865="","",IFERROR(IMAGE(CONCATENATE("https://us.pandora.net/on/demandware.static/-/Sites-pandora-master-catalog/default/dwbb259ca6/productimages/singlepackshot/",LEFT(A1865,FIND("-",A1865&amp;"-")-1),"_RGB.png")),""))),"{""url"":""https://us.pandora.net/on/demandware.static/-/Sites-pandora-master-catalog/default/dwbb259ca6/productimages/singlepackshot/268820C01_RGB.png"",""mode"":1}")</f>
        <v>{"url":"https://us.pandora.net/on/demandware.static/-/Sites-pandora-master-catalog/default/dwbb259ca6/productimages/singlepackshot/268820C01_RGB.png","mode":1}</v>
      </c>
      <c r="D1865" s="5" t="str">
        <f ca="1">IFERROR(ROWSDUMMYFUNCTION(IF(A1865="","",CONCATENATE("https://us.pandora.net/on/demandware.static/-/Sites-pandora-master-catalog/default/dwbb259ca6/productimages/singlepackshot/",LEFT(A1865,FIND("-",A1865&amp;"-")-1),"_RGB.png"))),"https://us.pandora.net/on/demandware.static/-/Sites-pandora-master-catalog/default/dwbb259ca6/productimages/singlepackshot/268820C01_RGB.png")</f>
        <v>https://us.pandora.net/on/demandware.static/-/Sites-pandora-master-catalog/default/dwbb259ca6/productimages/singlepackshot/268820C01_RGB.png</v>
      </c>
    </row>
    <row r="1866" spans="1:4" x14ac:dyDescent="0.25">
      <c r="A1866" s="3" t="s">
        <v>1868</v>
      </c>
      <c r="B1866" s="4">
        <v>69</v>
      </c>
      <c r="C1866" s="3" t="str">
        <f ca="1">IFERROR(ROWSDUMMYFUNCTION(IF(A1866="","",IFERROR(IMAGE(CONCATENATE("https://us.pandora.net/on/demandware.static/-/Sites-pandora-master-catalog/default/dwbb259ca6/productimages/singlepackshot/",LEFT(A1866,FIND("-",A1866&amp;"-")-1),"_RGB.png")),""))),"{""url"":""https://us.pandora.net/on/demandware.static/-/Sites-pandora-master-catalog/default/dwbb259ca6/productimages/singlepackshot/269532C00_RGB.png"",""mode"":1}")</f>
        <v>{"url":"https://us.pandora.net/on/demandware.static/-/Sites-pandora-master-catalog/default/dwbb259ca6/productimages/singlepackshot/269532C00_RGB.png","mode":1}</v>
      </c>
      <c r="D1866" s="5" t="str">
        <f ca="1">IFERROR(ROWSDUMMYFUNCTION(IF(A1866="","",CONCATENATE("https://us.pandora.net/on/demandware.static/-/Sites-pandora-master-catalog/default/dwbb259ca6/productimages/singlepackshot/",LEFT(A1866,FIND("-",A1866&amp;"-")-1),"_RGB.png"))),"https://us.pandora.net/on/demandware.static/-/Sites-pandora-master-catalog/default/dwbb259ca6/productimages/singlepackshot/269532C00_RGB.png")</f>
        <v>https://us.pandora.net/on/demandware.static/-/Sites-pandora-master-catalog/default/dwbb259ca6/productimages/singlepackshot/269532C00_RGB.png</v>
      </c>
    </row>
    <row r="1867" spans="1:4" x14ac:dyDescent="0.25">
      <c r="A1867" s="3" t="s">
        <v>1869</v>
      </c>
      <c r="B1867" s="4">
        <v>49</v>
      </c>
      <c r="C1867" s="3" t="str">
        <f ca="1">IFERROR(ROWSDUMMYFUNCTION(IF(A1867="","",IFERROR(IMAGE(CONCATENATE("https://us.pandora.net/on/demandware.static/-/Sites-pandora-master-catalog/default/dwbb259ca6/productimages/singlepackshot/",LEFT(A1867,FIND("-",A1867&amp;"-")-1),"_RGB.png")),""))),"{""url"":""https://us.pandora.net/on/demandware.static/-/Sites-pandora-master-catalog/default/dwbb259ca6/productimages/singlepackshot/269682C01_RGB.png"",""mode"":1}")</f>
        <v>{"url":"https://us.pandora.net/on/demandware.static/-/Sites-pandora-master-catalog/default/dwbb259ca6/productimages/singlepackshot/269682C01_RGB.png","mode":1}</v>
      </c>
      <c r="D1867" s="5" t="str">
        <f ca="1">IFERROR(ROWSDUMMYFUNCTION(IF(A1867="","",CONCATENATE("https://us.pandora.net/on/demandware.static/-/Sites-pandora-master-catalog/default/dwbb259ca6/productimages/singlepackshot/",LEFT(A1867,FIND("-",A1867&amp;"-")-1),"_RGB.png"))),"https://us.pandora.net/on/demandware.static/-/Sites-pandora-master-catalog/default/dwbb259ca6/productimages/singlepackshot/269682C01_RGB.png")</f>
        <v>https://us.pandora.net/on/demandware.static/-/Sites-pandora-master-catalog/default/dwbb259ca6/productimages/singlepackshot/269682C01_RGB.png</v>
      </c>
    </row>
    <row r="1868" spans="1:4" x14ac:dyDescent="0.25">
      <c r="A1868" s="3" t="s">
        <v>1870</v>
      </c>
      <c r="B1868" s="4">
        <v>69</v>
      </c>
      <c r="C1868" s="3" t="str">
        <f ca="1">IFERROR(ROWSDUMMYFUNCTION(IF(A1868="","",IFERROR(IMAGE(CONCATENATE("https://us.pandora.net/on/demandware.static/-/Sites-pandora-master-catalog/default/dwbb259ca6/productimages/singlepackshot/",LEFT(A1868,FIND("-",A1868&amp;"-")-1),"_RGB.png")),""))),"{""url"":""https://us.pandora.net/on/demandware.static/-/Sites-pandora-master-catalog/default/dwbb259ca6/productimages/singlepackshot/280090C01_RGB.png"",""mode"":1}")</f>
        <v>{"url":"https://us.pandora.net/on/demandware.static/-/Sites-pandora-master-catalog/default/dwbb259ca6/productimages/singlepackshot/280090C01_RGB.png","mode":1}</v>
      </c>
      <c r="D1868" s="5" t="str">
        <f ca="1">IFERROR(ROWSDUMMYFUNCTION(IF(A1868="","",CONCATENATE("https://us.pandora.net/on/demandware.static/-/Sites-pandora-master-catalog/default/dwbb259ca6/productimages/singlepackshot/",LEFT(A1868,FIND("-",A1868&amp;"-")-1),"_RGB.png"))),"https://us.pandora.net/on/demandware.static/-/Sites-pandora-master-catalog/default/dwbb259ca6/productimages/singlepackshot/280090C01_RGB.png")</f>
        <v>https://us.pandora.net/on/demandware.static/-/Sites-pandora-master-catalog/default/dwbb259ca6/productimages/singlepackshot/280090C01_RGB.png</v>
      </c>
    </row>
    <row r="1869" spans="1:4" x14ac:dyDescent="0.25">
      <c r="A1869" s="3" t="s">
        <v>1871</v>
      </c>
      <c r="B1869" s="4">
        <v>69</v>
      </c>
      <c r="C1869" s="3" t="str">
        <f ca="1">IFERROR(ROWSDUMMYFUNCTION(IF(A1869="","",IFERROR(IMAGE(CONCATENATE("https://us.pandora.net/on/demandware.static/-/Sites-pandora-master-catalog/default/dwbb259ca6/productimages/singlepackshot/",LEFT(A1869,FIND("-",A1869&amp;"-")-1),"_RGB.png")),""))),"{""url"":""https://us.pandora.net/on/demandware.static/-/Sites-pandora-master-catalog/default/dwbb259ca6/productimages/singlepackshot/280528CZ_RGB.png"",""mode"":1}")</f>
        <v>{"url":"https://us.pandora.net/on/demandware.static/-/Sites-pandora-master-catalog/default/dwbb259ca6/productimages/singlepackshot/280528CZ_RGB.png","mode":1}</v>
      </c>
      <c r="D1869" s="5" t="str">
        <f ca="1">IFERROR(ROWSDUMMYFUNCTION(IF(A1869="","",CONCATENATE("https://us.pandora.net/on/demandware.static/-/Sites-pandora-master-catalog/default/dwbb259ca6/productimages/singlepackshot/",LEFT(A1869,FIND("-",A1869&amp;"-")-1),"_RGB.png"))),"https://us.pandora.net/on/demandware.static/-/Sites-pandora-master-catalog/default/dwbb259ca6/productimages/singlepackshot/280528CZ_RGB.png")</f>
        <v>https://us.pandora.net/on/demandware.static/-/Sites-pandora-master-catalog/default/dwbb259ca6/productimages/singlepackshot/280528CZ_RGB.png</v>
      </c>
    </row>
    <row r="1870" spans="1:4" x14ac:dyDescent="0.25">
      <c r="A1870" s="3" t="s">
        <v>1872</v>
      </c>
      <c r="B1870" s="4">
        <v>119</v>
      </c>
      <c r="C1870" s="3" t="str">
        <f ca="1">IFERROR(ROWSDUMMYFUNCTION(IF(A1870="","",IFERROR(IMAGE(CONCATENATE("https://us.pandora.net/on/demandware.static/-/Sites-pandora-master-catalog/default/dwbb259ca6/productimages/singlepackshot/",LEFT(A1870,FIND("-",A1870&amp;"-")-1),"_RGB.png")),""))),"{""url"":""https://us.pandora.net/on/demandware.static/-/Sites-pandora-master-catalog/default/dwbb259ca6/productimages/singlepackshot/282407C01_RGB.png"",""mode"":1}")</f>
        <v>{"url":"https://us.pandora.net/on/demandware.static/-/Sites-pandora-master-catalog/default/dwbb259ca6/productimages/singlepackshot/282407C01_RGB.png","mode":1}</v>
      </c>
      <c r="D1870" s="5" t="str">
        <f ca="1">IFERROR(ROWSDUMMYFUNCTION(IF(A1870="","",CONCATENATE("https://us.pandora.net/on/demandware.static/-/Sites-pandora-master-catalog/default/dwbb259ca6/productimages/singlepackshot/",LEFT(A1870,FIND("-",A1870&amp;"-")-1),"_RGB.png"))),"https://us.pandora.net/on/demandware.static/-/Sites-pandora-master-catalog/default/dwbb259ca6/productimages/singlepackshot/282407C01_RGB.png")</f>
        <v>https://us.pandora.net/on/demandware.static/-/Sites-pandora-master-catalog/default/dwbb259ca6/productimages/singlepackshot/282407C01_RGB.png</v>
      </c>
    </row>
    <row r="1871" spans="1:4" x14ac:dyDescent="0.25">
      <c r="A1871" s="3" t="s">
        <v>1873</v>
      </c>
      <c r="B1871" s="4">
        <v>99</v>
      </c>
      <c r="C1871" s="3" t="str">
        <f ca="1">IFERROR(ROWSDUMMYFUNCTION(IF(A1871="","",IFERROR(IMAGE(CONCATENATE("https://us.pandora.net/on/demandware.static/-/Sites-pandora-master-catalog/default/dwbb259ca6/productimages/singlepackshot/",LEFT(A1871,FIND("-",A1871&amp;"-")-1),"_RGB.png")),""))),"{""url"":""https://us.pandora.net/on/demandware.static/-/Sites-pandora-master-catalog/default/dwbb259ca6/productimages/singlepackshot/282622C01_RGB.png"",""mode"":1}")</f>
        <v>{"url":"https://us.pandora.net/on/demandware.static/-/Sites-pandora-master-catalog/default/dwbb259ca6/productimages/singlepackshot/282622C01_RGB.png","mode":1}</v>
      </c>
      <c r="D1871" s="5" t="str">
        <f ca="1">IFERROR(ROWSDUMMYFUNCTION(IF(A1871="","",CONCATENATE("https://us.pandora.net/on/demandware.static/-/Sites-pandora-master-catalog/default/dwbb259ca6/productimages/singlepackshot/",LEFT(A1871,FIND("-",A1871&amp;"-")-1),"_RGB.png"))),"https://us.pandora.net/on/demandware.static/-/Sites-pandora-master-catalog/default/dwbb259ca6/productimages/singlepackshot/282622C01_RGB.png")</f>
        <v>https://us.pandora.net/on/demandware.static/-/Sites-pandora-master-catalog/default/dwbb259ca6/productimages/singlepackshot/282622C01_RGB.png</v>
      </c>
    </row>
    <row r="1872" spans="1:4" x14ac:dyDescent="0.25">
      <c r="A1872" s="3" t="s">
        <v>1874</v>
      </c>
      <c r="B1872" s="4">
        <v>89</v>
      </c>
      <c r="C1872" s="3" t="str">
        <f ca="1">IFERROR(ROWSDUMMYFUNCTION(IF(A1872="","",IFERROR(IMAGE(CONCATENATE("https://us.pandora.net/on/demandware.static/-/Sites-pandora-master-catalog/default/dwbb259ca6/productimages/singlepackshot/",LEFT(A1872,FIND("-",A1872&amp;"-")-1),"_RGB.png")),""))),"{""url"":""https://us.pandora.net/on/demandware.static/-/Sites-pandora-master-catalog/default/dwbb259ca6/productimages/singlepackshot/286317C01_RGB.png"",""mode"":1}")</f>
        <v>{"url":"https://us.pandora.net/on/demandware.static/-/Sites-pandora-master-catalog/default/dwbb259ca6/productimages/singlepackshot/286317C01_RGB.png","mode":1}</v>
      </c>
      <c r="D1872" s="5" t="str">
        <f ca="1">IFERROR(ROWSDUMMYFUNCTION(IF(A1872="","",CONCATENATE("https://us.pandora.net/on/demandware.static/-/Sites-pandora-master-catalog/default/dwbb259ca6/productimages/singlepackshot/",LEFT(A1872,FIND("-",A1872&amp;"-")-1),"_RGB.png"))),"https://us.pandora.net/on/demandware.static/-/Sites-pandora-master-catalog/default/dwbb259ca6/productimages/singlepackshot/286317C01_RGB.png")</f>
        <v>https://us.pandora.net/on/demandware.static/-/Sites-pandora-master-catalog/default/dwbb259ca6/productimages/singlepackshot/286317C01_RGB.png</v>
      </c>
    </row>
    <row r="1873" spans="1:4" x14ac:dyDescent="0.25">
      <c r="A1873" s="3" t="s">
        <v>1875</v>
      </c>
      <c r="B1873" s="4">
        <v>119</v>
      </c>
      <c r="C1873" s="3" t="str">
        <f ca="1">IFERROR(ROWSDUMMYFUNCTION(IF(A1873="","",IFERROR(IMAGE(CONCATENATE("https://us.pandora.net/on/demandware.static/-/Sites-pandora-master-catalog/default/dwbb259ca6/productimages/singlepackshot/",LEFT(A1873,FIND("-",A1873&amp;"-")-1),"_RGB.png")),""))),"{""url"":""https://us.pandora.net/on/demandware.static/-/Sites-pandora-master-catalog/default/dwbb259ca6/productimages/singlepackshot/286318CZ_RGB.png"",""mode"":1}")</f>
        <v>{"url":"https://us.pandora.net/on/demandware.static/-/Sites-pandora-master-catalog/default/dwbb259ca6/productimages/singlepackshot/286318CZ_RGB.png","mode":1}</v>
      </c>
      <c r="D1873" s="5" t="str">
        <f ca="1">IFERROR(ROWSDUMMYFUNCTION(IF(A1873="","",CONCATENATE("https://us.pandora.net/on/demandware.static/-/Sites-pandora-master-catalog/default/dwbb259ca6/productimages/singlepackshot/",LEFT(A1873,FIND("-",A1873&amp;"-")-1),"_RGB.png"))),"https://us.pandora.net/on/demandware.static/-/Sites-pandora-master-catalog/default/dwbb259ca6/productimages/singlepackshot/286318CZ_RGB.png")</f>
        <v>https://us.pandora.net/on/demandware.static/-/Sites-pandora-master-catalog/default/dwbb259ca6/productimages/singlepackshot/286318CZ_RGB.png</v>
      </c>
    </row>
    <row r="1874" spans="1:4" x14ac:dyDescent="0.25">
      <c r="A1874" s="3" t="s">
        <v>1876</v>
      </c>
      <c r="B1874" s="4">
        <v>49</v>
      </c>
      <c r="C1874" s="3" t="str">
        <f ca="1">IFERROR(ROWSDUMMYFUNCTION(IF(A1874="","",IFERROR(IMAGE(CONCATENATE("https://us.pandora.net/on/demandware.static/-/Sites-pandora-master-catalog/default/dwbb259ca6/productimages/singlepackshot/",LEFT(A1874,FIND("-",A1874&amp;"-")-1),"_RGB.png")),""))),"{""url"":""https://us.pandora.net/on/demandware.static/-/Sites-pandora-master-catalog/default/dwbb259ca6/productimages/singlepackshot/288307_RGB.png"",""mode"":1}")</f>
        <v>{"url":"https://us.pandora.net/on/demandware.static/-/Sites-pandora-master-catalog/default/dwbb259ca6/productimages/singlepackshot/288307_RGB.png","mode":1}</v>
      </c>
      <c r="D1874" s="5" t="str">
        <f ca="1">IFERROR(ROWSDUMMYFUNCTION(IF(A1874="","",CONCATENATE("https://us.pandora.net/on/demandware.static/-/Sites-pandora-master-catalog/default/dwbb259ca6/productimages/singlepackshot/",LEFT(A1874,FIND("-",A1874&amp;"-")-1),"_RGB.png"))),"https://us.pandora.net/on/demandware.static/-/Sites-pandora-master-catalog/default/dwbb259ca6/productimages/singlepackshot/288307_RGB.png")</f>
        <v>https://us.pandora.net/on/demandware.static/-/Sites-pandora-master-catalog/default/dwbb259ca6/productimages/singlepackshot/288307_RGB.png</v>
      </c>
    </row>
    <row r="1875" spans="1:4" x14ac:dyDescent="0.25">
      <c r="A1875" s="3" t="s">
        <v>1877</v>
      </c>
      <c r="B1875" s="4">
        <v>99</v>
      </c>
      <c r="C1875" s="3" t="str">
        <f ca="1">IFERROR(ROWSDUMMYFUNCTION(IF(A1875="","",IFERROR(IMAGE(CONCATENATE("https://us.pandora.net/on/demandware.static/-/Sites-pandora-master-catalog/default/dwbb259ca6/productimages/singlepackshot/",LEFT(A1875,FIND("-",A1875&amp;"-")-1),"_RGB.png")),""))),"{""url"":""https://us.pandora.net/on/demandware.static/-/Sites-pandora-master-catalog/default/dwbb259ca6/productimages/singlepackshot/288427C01_RGB.png"",""mode"":1}")</f>
        <v>{"url":"https://us.pandora.net/on/demandware.static/-/Sites-pandora-master-catalog/default/dwbb259ca6/productimages/singlepackshot/288427C01_RGB.png","mode":1}</v>
      </c>
      <c r="D1875" s="5" t="str">
        <f ca="1">IFERROR(ROWSDUMMYFUNCTION(IF(A1875="","",CONCATENATE("https://us.pandora.net/on/demandware.static/-/Sites-pandora-master-catalog/default/dwbb259ca6/productimages/singlepackshot/",LEFT(A1875,FIND("-",A1875&amp;"-")-1),"_RGB.png"))),"https://us.pandora.net/on/demandware.static/-/Sites-pandora-master-catalog/default/dwbb259ca6/productimages/singlepackshot/288427C01_RGB.png")</f>
        <v>https://us.pandora.net/on/demandware.static/-/Sites-pandora-master-catalog/default/dwbb259ca6/productimages/singlepackshot/288427C01_RGB.png</v>
      </c>
    </row>
    <row r="1876" spans="1:4" x14ac:dyDescent="0.25">
      <c r="A1876" s="3" t="s">
        <v>1878</v>
      </c>
      <c r="B1876" s="4">
        <v>109</v>
      </c>
      <c r="C1876" s="3" t="str">
        <f ca="1">IFERROR(ROWSDUMMYFUNCTION(IF(A1876="","",IFERROR(IMAGE(CONCATENATE("https://us.pandora.net/on/demandware.static/-/Sites-pandora-master-catalog/default/dwbb259ca6/productimages/singlepackshot/",LEFT(A1876,FIND("-",A1876&amp;"-")-1),"_RGB.png")),""))),"{""url"":""https://us.pandora.net/on/demandware.static/-/Sites-pandora-master-catalog/default/dwbb259ca6/productimages/singlepackshot/288427C02_RGB.png"",""mode"":1}")</f>
        <v>{"url":"https://us.pandora.net/on/demandware.static/-/Sites-pandora-master-catalog/default/dwbb259ca6/productimages/singlepackshot/288427C02_RGB.png","mode":1}</v>
      </c>
      <c r="D1876" s="5" t="str">
        <f ca="1">IFERROR(ROWSDUMMYFUNCTION(IF(A1876="","",CONCATENATE("https://us.pandora.net/on/demandware.static/-/Sites-pandora-master-catalog/default/dwbb259ca6/productimages/singlepackshot/",LEFT(A1876,FIND("-",A1876&amp;"-")-1),"_RGB.png"))),"https://us.pandora.net/on/demandware.static/-/Sites-pandora-master-catalog/default/dwbb259ca6/productimages/singlepackshot/288427C02_RGB.png")</f>
        <v>https://us.pandora.net/on/demandware.static/-/Sites-pandora-master-catalog/default/dwbb259ca6/productimages/singlepackshot/288427C02_RGB.png</v>
      </c>
    </row>
    <row r="1877" spans="1:4" x14ac:dyDescent="0.25">
      <c r="A1877" s="3" t="s">
        <v>1879</v>
      </c>
      <c r="B1877" s="4">
        <v>69</v>
      </c>
      <c r="C1877" s="3" t="str">
        <f ca="1">IFERROR(ROWSDUMMYFUNCTION(IF(A1877="","",IFERROR(IMAGE(CONCATENATE("https://us.pandora.net/on/demandware.static/-/Sites-pandora-master-catalog/default/dwbb259ca6/productimages/singlepackshot/",LEFT(A1877,FIND("-",A1877&amp;"-")-1),"_RGB.png")),""))),"{""url"":""https://us.pandora.net/on/demandware.static/-/Sites-pandora-master-catalog/default/dwbb259ca6/productimages/singlepackshot/288773C01_RGB.png"",""mode"":1}")</f>
        <v>{"url":"https://us.pandora.net/on/demandware.static/-/Sites-pandora-master-catalog/default/dwbb259ca6/productimages/singlepackshot/288773C01_RGB.png","mode":1}</v>
      </c>
      <c r="D1877" s="5" t="str">
        <f ca="1">IFERROR(ROWSDUMMYFUNCTION(IF(A1877="","",CONCATENATE("https://us.pandora.net/on/demandware.static/-/Sites-pandora-master-catalog/default/dwbb259ca6/productimages/singlepackshot/",LEFT(A1877,FIND("-",A1877&amp;"-")-1),"_RGB.png"))),"https://us.pandora.net/on/demandware.static/-/Sites-pandora-master-catalog/default/dwbb259ca6/productimages/singlepackshot/288773C01_RGB.png")</f>
        <v>https://us.pandora.net/on/demandware.static/-/Sites-pandora-master-catalog/default/dwbb259ca6/productimages/singlepackshot/288773C01_RGB.png</v>
      </c>
    </row>
    <row r="1878" spans="1:4" x14ac:dyDescent="0.25">
      <c r="A1878" s="3" t="s">
        <v>1880</v>
      </c>
      <c r="B1878" s="4">
        <v>49</v>
      </c>
      <c r="C1878" s="3" t="str">
        <f ca="1">IFERROR(ROWSDUMMYFUNCTION(IF(A1878="","",IFERROR(IMAGE(CONCATENATE("https://us.pandora.net/on/demandware.static/-/Sites-pandora-master-catalog/default/dwbb259ca6/productimages/singlepackshot/",LEFT(A1878,FIND("-",A1878&amp;"-")-1),"_RGB.png")),""))),"{""url"":""https://us.pandora.net/on/demandware.static/-/Sites-pandora-master-catalog/default/dwbb259ca6/productimages/singlepackshot/288820C01_RGB.png"",""mode"":1}")</f>
        <v>{"url":"https://us.pandora.net/on/demandware.static/-/Sites-pandora-master-catalog/default/dwbb259ca6/productimages/singlepackshot/288820C01_RGB.png","mode":1}</v>
      </c>
      <c r="D1878" s="5" t="str">
        <f ca="1">IFERROR(ROWSDUMMYFUNCTION(IF(A1878="","",CONCATENATE("https://us.pandora.net/on/demandware.static/-/Sites-pandora-master-catalog/default/dwbb259ca6/productimages/singlepackshot/",LEFT(A1878,FIND("-",A1878&amp;"-")-1),"_RGB.png"))),"https://us.pandora.net/on/demandware.static/-/Sites-pandora-master-catalog/default/dwbb259ca6/productimages/singlepackshot/288820C01_RGB.png")</f>
        <v>https://us.pandora.net/on/demandware.static/-/Sites-pandora-master-catalog/default/dwbb259ca6/productimages/singlepackshot/288820C01_RGB.png</v>
      </c>
    </row>
    <row r="1879" spans="1:4" x14ac:dyDescent="0.25">
      <c r="A1879" s="3" t="s">
        <v>1881</v>
      </c>
      <c r="B1879" s="4">
        <v>39</v>
      </c>
      <c r="C1879" s="3" t="str">
        <f ca="1">IFERROR(ROWSDUMMYFUNCTION(IF(A1879="","",IFERROR(IMAGE(CONCATENATE("https://us.pandora.net/on/demandware.static/-/Sites-pandora-master-catalog/default/dwbb259ca6/productimages/singlepackshot/",LEFT(A1879,FIND("-",A1879&amp;"-")-1),"_RGB.png")),""))),"{""url"":""https://us.pandora.net/on/demandware.static/-/Sites-pandora-master-catalog/default/dwbb259ca6/productimages/singlepackshot/290012C01_RGB.png"",""mode"":1}")</f>
        <v>{"url":"https://us.pandora.net/on/demandware.static/-/Sites-pandora-master-catalog/default/dwbb259ca6/productimages/singlepackshot/290012C01_RGB.png","mode":1}</v>
      </c>
      <c r="D1879" s="5" t="str">
        <f ca="1">IFERROR(ROWSDUMMYFUNCTION(IF(A1879="","",CONCATENATE("https://us.pandora.net/on/demandware.static/-/Sites-pandora-master-catalog/default/dwbb259ca6/productimages/singlepackshot/",LEFT(A1879,FIND("-",A1879&amp;"-")-1),"_RGB.png"))),"https://us.pandora.net/on/demandware.static/-/Sites-pandora-master-catalog/default/dwbb259ca6/productimages/singlepackshot/290012C01_RGB.png")</f>
        <v>https://us.pandora.net/on/demandware.static/-/Sites-pandora-master-catalog/default/dwbb259ca6/productimages/singlepackshot/290012C01_RGB.png</v>
      </c>
    </row>
    <row r="1880" spans="1:4" x14ac:dyDescent="0.25">
      <c r="A1880" s="3" t="s">
        <v>1882</v>
      </c>
      <c r="B1880" s="4">
        <v>49</v>
      </c>
      <c r="C1880" s="3" t="str">
        <f ca="1">IFERROR(ROWSDUMMYFUNCTION(IF(A1880="","",IFERROR(IMAGE(CONCATENATE("https://us.pandora.net/on/demandware.static/-/Sites-pandora-master-catalog/default/dwbb259ca6/productimages/singlepackshot/",LEFT(A1880,FIND("-",A1880&amp;"-")-1),"_RGB.png")),""))),"{""url"":""https://us.pandora.net/on/demandware.static/-/Sites-pandora-master-catalog/default/dwbb259ca6/productimages/singlepackshot/290023C01_RGB.png"",""mode"":1}")</f>
        <v>{"url":"https://us.pandora.net/on/demandware.static/-/Sites-pandora-master-catalog/default/dwbb259ca6/productimages/singlepackshot/290023C01_RGB.png","mode":1}</v>
      </c>
      <c r="D1880" s="5" t="str">
        <f ca="1">IFERROR(ROWSDUMMYFUNCTION(IF(A1880="","",CONCATENATE("https://us.pandora.net/on/demandware.static/-/Sites-pandora-master-catalog/default/dwbb259ca6/productimages/singlepackshot/",LEFT(A1880,FIND("-",A1880&amp;"-")-1),"_RGB.png"))),"https://us.pandora.net/on/demandware.static/-/Sites-pandora-master-catalog/default/dwbb259ca6/productimages/singlepackshot/290023C01_RGB.png")</f>
        <v>https://us.pandora.net/on/demandware.static/-/Sites-pandora-master-catalog/default/dwbb259ca6/productimages/singlepackshot/290023C01_RGB.png</v>
      </c>
    </row>
    <row r="1881" spans="1:4" x14ac:dyDescent="0.25">
      <c r="A1881" s="3" t="s">
        <v>1883</v>
      </c>
      <c r="B1881" s="4">
        <v>79</v>
      </c>
      <c r="C1881" s="3" t="str">
        <f ca="1">IFERROR(ROWSDUMMYFUNCTION(IF(A1881="","",IFERROR(IMAGE(CONCATENATE("https://us.pandora.net/on/demandware.static/-/Sites-pandora-master-catalog/default/dwbb259ca6/productimages/singlepackshot/",LEFT(A1881,FIND("-",A1881&amp;"-")-1),"_RGB.png")),""))),"{""url"":""https://us.pandora.net/on/demandware.static/-/Sites-pandora-master-catalog/default/dwbb259ca6/productimages/singlepackshot/290058C01_RGB.png"",""mode"":1}")</f>
        <v>{"url":"https://us.pandora.net/on/demandware.static/-/Sites-pandora-master-catalog/default/dwbb259ca6/productimages/singlepackshot/290058C01_RGB.png","mode":1}</v>
      </c>
      <c r="D1881" s="5" t="str">
        <f ca="1">IFERROR(ROWSDUMMYFUNCTION(IF(A1881="","",CONCATENATE("https://us.pandora.net/on/demandware.static/-/Sites-pandora-master-catalog/default/dwbb259ca6/productimages/singlepackshot/",LEFT(A1881,FIND("-",A1881&amp;"-")-1),"_RGB.png"))),"https://us.pandora.net/on/demandware.static/-/Sites-pandora-master-catalog/default/dwbb259ca6/productimages/singlepackshot/290058C01_RGB.png")</f>
        <v>https://us.pandora.net/on/demandware.static/-/Sites-pandora-master-catalog/default/dwbb259ca6/productimages/singlepackshot/290058C01_RGB.png</v>
      </c>
    </row>
    <row r="1882" spans="1:4" x14ac:dyDescent="0.25">
      <c r="A1882" s="3" t="s">
        <v>1884</v>
      </c>
      <c r="B1882" s="4">
        <v>49</v>
      </c>
      <c r="C1882" s="3" t="str">
        <f ca="1">IFERROR(ROWSDUMMYFUNCTION(IF(A1882="","",IFERROR(IMAGE(CONCATENATE("https://us.pandora.net/on/demandware.static/-/Sites-pandora-master-catalog/default/dwbb259ca6/productimages/singlepackshot/",LEFT(A1882,FIND("-",A1882&amp;"-")-1),"_RGB.png")),""))),"{""url"":""https://us.pandora.net/on/demandware.static/-/Sites-pandora-master-catalog/default/dwbb259ca6/productimages/singlepackshot/290528CZ_RGB.png"",""mode"":1}")</f>
        <v>{"url":"https://us.pandora.net/on/demandware.static/-/Sites-pandora-master-catalog/default/dwbb259ca6/productimages/singlepackshot/290528CZ_RGB.png","mode":1}</v>
      </c>
      <c r="D1882" s="5" t="str">
        <f ca="1">IFERROR(ROWSDUMMYFUNCTION(IF(A1882="","",CONCATENATE("https://us.pandora.net/on/demandware.static/-/Sites-pandora-master-catalog/default/dwbb259ca6/productimages/singlepackshot/",LEFT(A1882,FIND("-",A1882&amp;"-")-1),"_RGB.png"))),"https://us.pandora.net/on/demandware.static/-/Sites-pandora-master-catalog/default/dwbb259ca6/productimages/singlepackshot/290528CZ_RGB.png")</f>
        <v>https://us.pandora.net/on/demandware.static/-/Sites-pandora-master-catalog/default/dwbb259ca6/productimages/singlepackshot/290528CZ_RGB.png</v>
      </c>
    </row>
    <row r="1883" spans="1:4" x14ac:dyDescent="0.25">
      <c r="A1883" s="3" t="s">
        <v>1885</v>
      </c>
      <c r="B1883" s="4">
        <v>79</v>
      </c>
      <c r="C1883" s="3" t="str">
        <f ca="1">IFERROR(ROWSDUMMYFUNCTION(IF(A1883="","",IFERROR(IMAGE(CONCATENATE("https://us.pandora.net/on/demandware.static/-/Sites-pandora-master-catalog/default/dwbb259ca6/productimages/singlepackshot/",LEFT(A1883,FIND("-",A1883&amp;"-")-1),"_RGB.png")),""))),"{""url"":""https://us.pandora.net/on/demandware.static/-/Sites-pandora-master-catalog/default/dwbb259ca6/productimages/singlepackshot/290558CZ_RGB.png"",""mode"":1}")</f>
        <v>{"url":"https://us.pandora.net/on/demandware.static/-/Sites-pandora-master-catalog/default/dwbb259ca6/productimages/singlepackshot/290558CZ_RGB.png","mode":1}</v>
      </c>
      <c r="D1883" s="5" t="str">
        <f ca="1">IFERROR(ROWSDUMMYFUNCTION(IF(A1883="","",CONCATENATE("https://us.pandora.net/on/demandware.static/-/Sites-pandora-master-catalog/default/dwbb259ca6/productimages/singlepackshot/",LEFT(A1883,FIND("-",A1883&amp;"-")-1),"_RGB.png"))),"https://us.pandora.net/on/demandware.static/-/Sites-pandora-master-catalog/default/dwbb259ca6/productimages/singlepackshot/290558CZ_RGB.png")</f>
        <v>https://us.pandora.net/on/demandware.static/-/Sites-pandora-master-catalog/default/dwbb259ca6/productimages/singlepackshot/290558CZ_RGB.png</v>
      </c>
    </row>
    <row r="1884" spans="1:4" x14ac:dyDescent="0.25">
      <c r="A1884" s="3" t="s">
        <v>1886</v>
      </c>
      <c r="B1884" s="4">
        <v>49</v>
      </c>
      <c r="C1884" s="3" t="str">
        <f ca="1">IFERROR(ROWSDUMMYFUNCTION(IF(A1884="","",IFERROR(IMAGE(CONCATENATE("https://us.pandora.net/on/demandware.static/-/Sites-pandora-master-catalog/default/dwbb259ca6/productimages/singlepackshot/",LEFT(A1884,FIND("-",A1884&amp;"-")-1),"_RGB.png")),""))),"{""url"":""https://us.pandora.net/on/demandware.static/-/Sites-pandora-master-catalog/default/dwbb259ca6/productimages/singlepackshot/290585CZ_RGB.png"",""mode"":1}")</f>
        <v>{"url":"https://us.pandora.net/on/demandware.static/-/Sites-pandora-master-catalog/default/dwbb259ca6/productimages/singlepackshot/290585CZ_RGB.png","mode":1}</v>
      </c>
      <c r="D1884" s="5" t="str">
        <f ca="1">IFERROR(ROWSDUMMYFUNCTION(IF(A1884="","",CONCATENATE("https://us.pandora.net/on/demandware.static/-/Sites-pandora-master-catalog/default/dwbb259ca6/productimages/singlepackshot/",LEFT(A1884,FIND("-",A1884&amp;"-")-1),"_RGB.png"))),"https://us.pandora.net/on/demandware.static/-/Sites-pandora-master-catalog/default/dwbb259ca6/productimages/singlepackshot/290585CZ_RGB.png")</f>
        <v>https://us.pandora.net/on/demandware.static/-/Sites-pandora-master-catalog/default/dwbb259ca6/productimages/singlepackshot/290585CZ_RGB.png</v>
      </c>
    </row>
    <row r="1885" spans="1:4" x14ac:dyDescent="0.25">
      <c r="A1885" s="3" t="s">
        <v>1887</v>
      </c>
      <c r="B1885" s="4">
        <v>69</v>
      </c>
      <c r="C1885" s="3" t="str">
        <f ca="1">IFERROR(ROWSDUMMYFUNCTION(IF(A1885="","",IFERROR(IMAGE(CONCATENATE("https://us.pandora.net/on/demandware.static/-/Sites-pandora-master-catalog/default/dwbb259ca6/productimages/singlepackshot/",LEFT(A1885,FIND("-",A1885&amp;"-")-1),"_RGB.png")),""))),"{""url"":""https://us.pandora.net/on/demandware.static/-/Sites-pandora-master-catalog/default/dwbb259ca6/productimages/singlepackshot/290591CZ_RGB.png"",""mode"":1}")</f>
        <v>{"url":"https://us.pandora.net/on/demandware.static/-/Sites-pandora-master-catalog/default/dwbb259ca6/productimages/singlepackshot/290591CZ_RGB.png","mode":1}</v>
      </c>
      <c r="D1885" s="5" t="str">
        <f ca="1">IFERROR(ROWSDUMMYFUNCTION(IF(A1885="","",CONCATENATE("https://us.pandora.net/on/demandware.static/-/Sites-pandora-master-catalog/default/dwbb259ca6/productimages/singlepackshot/",LEFT(A1885,FIND("-",A1885&amp;"-")-1),"_RGB.png"))),"https://us.pandora.net/on/demandware.static/-/Sites-pandora-master-catalog/default/dwbb259ca6/productimages/singlepackshot/290591CZ_RGB.png")</f>
        <v>https://us.pandora.net/on/demandware.static/-/Sites-pandora-master-catalog/default/dwbb259ca6/productimages/singlepackshot/290591CZ_RGB.png</v>
      </c>
    </row>
    <row r="1886" spans="1:4" x14ac:dyDescent="0.25">
      <c r="A1886" s="3" t="s">
        <v>1888</v>
      </c>
      <c r="B1886" s="4">
        <v>29</v>
      </c>
      <c r="C1886" s="3" t="str">
        <f ca="1">IFERROR(ROWSDUMMYFUNCTION(IF(A1886="","",IFERROR(IMAGE(CONCATENATE("https://us.pandora.net/on/demandware.static/-/Sites-pandora-master-catalog/default/dwbb259ca6/productimages/singlepackshot/",LEFT(A1886,FIND("-",A1886&amp;"-")-1),"_RGB.png")),""))),"{""url"":""https://us.pandora.net/on/demandware.static/-/Sites-pandora-master-catalog/default/dwbb259ca6/productimages/singlepackshot/290597CZ_RGB.png"",""mode"":1}")</f>
        <v>{"url":"https://us.pandora.net/on/demandware.static/-/Sites-pandora-master-catalog/default/dwbb259ca6/productimages/singlepackshot/290597CZ_RGB.png","mode":1}</v>
      </c>
      <c r="D1886" s="5" t="str">
        <f ca="1">IFERROR(ROWSDUMMYFUNCTION(IF(A1886="","",CONCATENATE("https://us.pandora.net/on/demandware.static/-/Sites-pandora-master-catalog/default/dwbb259ca6/productimages/singlepackshot/",LEFT(A1886,FIND("-",A1886&amp;"-")-1),"_RGB.png"))),"https://us.pandora.net/on/demandware.static/-/Sites-pandora-master-catalog/default/dwbb259ca6/productimages/singlepackshot/290597CZ_RGB.png")</f>
        <v>https://us.pandora.net/on/demandware.static/-/Sites-pandora-master-catalog/default/dwbb259ca6/productimages/singlepackshot/290597CZ_RGB.png</v>
      </c>
    </row>
    <row r="1887" spans="1:4" x14ac:dyDescent="0.25">
      <c r="A1887" s="3" t="s">
        <v>1889</v>
      </c>
      <c r="B1887" s="4">
        <v>59</v>
      </c>
      <c r="C1887" s="3" t="str">
        <f ca="1">IFERROR(ROWSDUMMYFUNCTION(IF(A1887="","",IFERROR(IMAGE(CONCATENATE("https://us.pandora.net/on/demandware.static/-/Sites-pandora-master-catalog/default/dwbb259ca6/productimages/singlepackshot/",LEFT(A1887,FIND("-",A1887&amp;"-")-1),"_RGB.png")),""))),"{""url"":""https://us.pandora.net/on/demandware.static/-/Sites-pandora-master-catalog/default/dwbb259ca6/productimages/singlepackshot/290744CZ_RGB.png"",""mode"":1}")</f>
        <v>{"url":"https://us.pandora.net/on/demandware.static/-/Sites-pandora-master-catalog/default/dwbb259ca6/productimages/singlepackshot/290744CZ_RGB.png","mode":1}</v>
      </c>
      <c r="D1887" s="5" t="str">
        <f ca="1">IFERROR(ROWSDUMMYFUNCTION(IF(A1887="","",CONCATENATE("https://us.pandora.net/on/demandware.static/-/Sites-pandora-master-catalog/default/dwbb259ca6/productimages/singlepackshot/",LEFT(A1887,FIND("-",A1887&amp;"-")-1),"_RGB.png"))),"https://us.pandora.net/on/demandware.static/-/Sites-pandora-master-catalog/default/dwbb259ca6/productimages/singlepackshot/290744CZ_RGB.png")</f>
        <v>https://us.pandora.net/on/demandware.static/-/Sites-pandora-master-catalog/default/dwbb259ca6/productimages/singlepackshot/290744CZ_RGB.png</v>
      </c>
    </row>
    <row r="1888" spans="1:4" x14ac:dyDescent="0.25">
      <c r="A1888" s="3" t="s">
        <v>1890</v>
      </c>
      <c r="B1888" s="4">
        <v>59</v>
      </c>
      <c r="C1888" s="3" t="str">
        <f ca="1">IFERROR(ROWSDUMMYFUNCTION(IF(A1888="","",IFERROR(IMAGE(CONCATENATE("https://us.pandora.net/on/demandware.static/-/Sites-pandora-master-catalog/default/dwbb259ca6/productimages/singlepackshot/",LEFT(A1888,FIND("-",A1888&amp;"-")-1),"_RGB.png")),""))),"{""url"":""https://us.pandora.net/on/demandware.static/-/Sites-pandora-master-catalog/default/dwbb259ca6/productimages/singlepackshot/290778C01_RGB.png"",""mode"":1}")</f>
        <v>{"url":"https://us.pandora.net/on/demandware.static/-/Sites-pandora-master-catalog/default/dwbb259ca6/productimages/singlepackshot/290778C01_RGB.png","mode":1}</v>
      </c>
      <c r="D1888" s="5" t="str">
        <f ca="1">IFERROR(ROWSDUMMYFUNCTION(IF(A1888="","",CONCATENATE("https://us.pandora.net/on/demandware.static/-/Sites-pandora-master-catalog/default/dwbb259ca6/productimages/singlepackshot/",LEFT(A1888,FIND("-",A1888&amp;"-")-1),"_RGB.png"))),"https://us.pandora.net/on/demandware.static/-/Sites-pandora-master-catalog/default/dwbb259ca6/productimages/singlepackshot/290778C01_RGB.png")</f>
        <v>https://us.pandora.net/on/demandware.static/-/Sites-pandora-master-catalog/default/dwbb259ca6/productimages/singlepackshot/290778C01_RGB.png</v>
      </c>
    </row>
    <row r="1889" spans="1:4" x14ac:dyDescent="0.25">
      <c r="A1889" s="3" t="s">
        <v>1891</v>
      </c>
      <c r="B1889" s="4">
        <v>59</v>
      </c>
      <c r="C1889" s="3" t="str">
        <f ca="1">IFERROR(ROWSDUMMYFUNCTION(IF(A1889="","",IFERROR(IMAGE(CONCATENATE("https://us.pandora.net/on/demandware.static/-/Sites-pandora-master-catalog/default/dwbb259ca6/productimages/singlepackshot/",LEFT(A1889,FIND("-",A1889&amp;"-")-1),"_RGB.png")),""))),"{""url"":""https://us.pandora.net/on/demandware.static/-/Sites-pandora-master-catalog/default/dwbb259ca6/productimages/singlepackshot/291076C01_RGB.png"",""mode"":1}")</f>
        <v>{"url":"https://us.pandora.net/on/demandware.static/-/Sites-pandora-master-catalog/default/dwbb259ca6/productimages/singlepackshot/291076C01_RGB.png","mode":1}</v>
      </c>
      <c r="D1889" s="5" t="str">
        <f ca="1">IFERROR(ROWSDUMMYFUNCTION(IF(A1889="","",CONCATENATE("https://us.pandora.net/on/demandware.static/-/Sites-pandora-master-catalog/default/dwbb259ca6/productimages/singlepackshot/",LEFT(A1889,FIND("-",A1889&amp;"-")-1),"_RGB.png"))),"https://us.pandora.net/on/demandware.static/-/Sites-pandora-master-catalog/default/dwbb259ca6/productimages/singlepackshot/291076C01_RGB.png")</f>
        <v>https://us.pandora.net/on/demandware.static/-/Sites-pandora-master-catalog/default/dwbb259ca6/productimages/singlepackshot/291076C01_RGB.png</v>
      </c>
    </row>
    <row r="1890" spans="1:4" x14ac:dyDescent="0.25">
      <c r="A1890" s="3" t="s">
        <v>1892</v>
      </c>
      <c r="B1890" s="4">
        <v>79</v>
      </c>
      <c r="C1890" s="3" t="str">
        <f ca="1">IFERROR(ROWSDUMMYFUNCTION(IF(A1890="","",IFERROR(IMAGE(CONCATENATE("https://us.pandora.net/on/demandware.static/-/Sites-pandora-master-catalog/default/dwbb259ca6/productimages/singlepackshot/",LEFT(A1890,FIND("-",A1890&amp;"-")-1),"_RGB.png")),""))),"{""url"":""https://us.pandora.net/on/demandware.static/-/Sites-pandora-master-catalog/default/dwbb259ca6/productimages/singlepackshot/291156C01_RGB.png"",""mode"":1}")</f>
        <v>{"url":"https://us.pandora.net/on/demandware.static/-/Sites-pandora-master-catalog/default/dwbb259ca6/productimages/singlepackshot/291156C01_RGB.png","mode":1}</v>
      </c>
      <c r="D1890" s="5" t="str">
        <f ca="1">IFERROR(ROWSDUMMYFUNCTION(IF(A1890="","",CONCATENATE("https://us.pandora.net/on/demandware.static/-/Sites-pandora-master-catalog/default/dwbb259ca6/productimages/singlepackshot/",LEFT(A1890,FIND("-",A1890&amp;"-")-1),"_RGB.png"))),"https://us.pandora.net/on/demandware.static/-/Sites-pandora-master-catalog/default/dwbb259ca6/productimages/singlepackshot/291156C01_RGB.png")</f>
        <v>https://us.pandora.net/on/demandware.static/-/Sites-pandora-master-catalog/default/dwbb259ca6/productimages/singlepackshot/291156C01_RGB.png</v>
      </c>
    </row>
    <row r="1891" spans="1:4" x14ac:dyDescent="0.25">
      <c r="A1891" s="3" t="s">
        <v>1893</v>
      </c>
      <c r="B1891" s="4">
        <v>69</v>
      </c>
      <c r="C1891" s="3" t="str">
        <f ca="1">IFERROR(ROWSDUMMYFUNCTION(IF(A1891="","",IFERROR(IMAGE(CONCATENATE("https://us.pandora.net/on/demandware.static/-/Sites-pandora-master-catalog/default/dwbb259ca6/productimages/singlepackshot/",LEFT(A1891,FIND("-",A1891&amp;"-")-1),"_RGB.png")),""))),"{""url"":""https://us.pandora.net/on/demandware.static/-/Sites-pandora-master-catalog/default/dwbb259ca6/productimages/singlepackshot/291199C01_RGB.png"",""mode"":1}")</f>
        <v>{"url":"https://us.pandora.net/on/demandware.static/-/Sites-pandora-master-catalog/default/dwbb259ca6/productimages/singlepackshot/291199C01_RGB.png","mode":1}</v>
      </c>
      <c r="D1891" s="5" t="str">
        <f ca="1">IFERROR(ROWSDUMMYFUNCTION(IF(A1891="","",CONCATENATE("https://us.pandora.net/on/demandware.static/-/Sites-pandora-master-catalog/default/dwbb259ca6/productimages/singlepackshot/",LEFT(A1891,FIND("-",A1891&amp;"-")-1),"_RGB.png"))),"https://us.pandora.net/on/demandware.static/-/Sites-pandora-master-catalog/default/dwbb259ca6/productimages/singlepackshot/291199C01_RGB.png")</f>
        <v>https://us.pandora.net/on/demandware.static/-/Sites-pandora-master-catalog/default/dwbb259ca6/productimages/singlepackshot/291199C01_RGB.png</v>
      </c>
    </row>
    <row r="1892" spans="1:4" x14ac:dyDescent="0.25">
      <c r="A1892" s="3" t="s">
        <v>1894</v>
      </c>
      <c r="B1892" s="4">
        <v>59</v>
      </c>
      <c r="C1892" s="3" t="str">
        <f ca="1">IFERROR(ROWSDUMMYFUNCTION(IF(A1892="","",IFERROR(IMAGE(CONCATENATE("https://us.pandora.net/on/demandware.static/-/Sites-pandora-master-catalog/default/dwbb259ca6/productimages/singlepackshot/",LEFT(A1892,FIND("-",A1892&amp;"-")-1),"_RGB.png")),""))),"{""url"":""https://us.pandora.net/on/demandware.static/-/Sites-pandora-master-catalog/default/dwbb259ca6/productimages/singlepackshot/291248C01_RGB.png"",""mode"":1}")</f>
        <v>{"url":"https://us.pandora.net/on/demandware.static/-/Sites-pandora-master-catalog/default/dwbb259ca6/productimages/singlepackshot/291248C01_RGB.png","mode":1}</v>
      </c>
      <c r="D1892" s="5" t="str">
        <f ca="1">IFERROR(ROWSDUMMYFUNCTION(IF(A1892="","",CONCATENATE("https://us.pandora.net/on/demandware.static/-/Sites-pandora-master-catalog/default/dwbb259ca6/productimages/singlepackshot/",LEFT(A1892,FIND("-",A1892&amp;"-")-1),"_RGB.png"))),"https://us.pandora.net/on/demandware.static/-/Sites-pandora-master-catalog/default/dwbb259ca6/productimages/singlepackshot/291248C01_RGB.png")</f>
        <v>https://us.pandora.net/on/demandware.static/-/Sites-pandora-master-catalog/default/dwbb259ca6/productimages/singlepackshot/291248C01_RGB.png</v>
      </c>
    </row>
    <row r="1893" spans="1:4" x14ac:dyDescent="0.25">
      <c r="A1893" s="3" t="s">
        <v>1895</v>
      </c>
      <c r="B1893" s="4">
        <v>99</v>
      </c>
      <c r="C1893" s="3" t="str">
        <f ca="1">IFERROR(ROWSDUMMYFUNCTION(IF(A1893="","",IFERROR(IMAGE(CONCATENATE("https://us.pandora.net/on/demandware.static/-/Sites-pandora-master-catalog/default/dwbb259ca6/productimages/singlepackshot/",LEFT(A1893,FIND("-",A1893&amp;"-")-1),"_RGB.png")),""))),"{""url"":""https://us.pandora.net/on/demandware.static/-/Sites-pandora-master-catalog/default/dwbb259ca6/productimages/singlepackshot/291445C01_RGB.png"",""mode"":1}")</f>
        <v>{"url":"https://us.pandora.net/on/demandware.static/-/Sites-pandora-master-catalog/default/dwbb259ca6/productimages/singlepackshot/291445C01_RGB.png","mode":1}</v>
      </c>
      <c r="D1893" s="5" t="str">
        <f ca="1">IFERROR(ROWSDUMMYFUNCTION(IF(A1893="","",CONCATENATE("https://us.pandora.net/on/demandware.static/-/Sites-pandora-master-catalog/default/dwbb259ca6/productimages/singlepackshot/",LEFT(A1893,FIND("-",A1893&amp;"-")-1),"_RGB.png"))),"https://us.pandora.net/on/demandware.static/-/Sites-pandora-master-catalog/default/dwbb259ca6/productimages/singlepackshot/291445C01_RGB.png")</f>
        <v>https://us.pandora.net/on/demandware.static/-/Sites-pandora-master-catalog/default/dwbb259ca6/productimages/singlepackshot/291445C01_RGB.png</v>
      </c>
    </row>
    <row r="1894" spans="1:4" x14ac:dyDescent="0.25">
      <c r="A1894" s="3" t="s">
        <v>1896</v>
      </c>
      <c r="B1894" s="4">
        <v>49</v>
      </c>
      <c r="C1894" s="3" t="str">
        <f ca="1">IFERROR(ROWSDUMMYFUNCTION(IF(A1894="","",IFERROR(IMAGE(CONCATENATE("https://us.pandora.net/on/demandware.static/-/Sites-pandora-master-catalog/default/dwbb259ca6/productimages/singlepackshot/",LEFT(A1894,FIND("-",A1894&amp;"-")-1),"_RGB.png")),""))),"{""url"":""https://us.pandora.net/on/demandware.static/-/Sites-pandora-master-catalog/default/dwbb259ca6/productimages/singlepackshot/292334C01_RGB.png"",""mode"":1}")</f>
        <v>{"url":"https://us.pandora.net/on/demandware.static/-/Sites-pandora-master-catalog/default/dwbb259ca6/productimages/singlepackshot/292334C01_RGB.png","mode":1}</v>
      </c>
      <c r="D1894" s="5" t="str">
        <f ca="1">IFERROR(ROWSDUMMYFUNCTION(IF(A1894="","",CONCATENATE("https://us.pandora.net/on/demandware.static/-/Sites-pandora-master-catalog/default/dwbb259ca6/productimages/singlepackshot/",LEFT(A1894,FIND("-",A1894&amp;"-")-1),"_RGB.png"))),"https://us.pandora.net/on/demandware.static/-/Sites-pandora-master-catalog/default/dwbb259ca6/productimages/singlepackshot/292334C01_RGB.png")</f>
        <v>https://us.pandora.net/on/demandware.static/-/Sites-pandora-master-catalog/default/dwbb259ca6/productimages/singlepackshot/292334C01_RGB.png</v>
      </c>
    </row>
    <row r="1895" spans="1:4" x14ac:dyDescent="0.25">
      <c r="A1895" s="3" t="s">
        <v>1897</v>
      </c>
      <c r="B1895" s="4">
        <v>49</v>
      </c>
      <c r="C1895" s="3" t="str">
        <f ca="1">IFERROR(ROWSDUMMYFUNCTION(IF(A1895="","",IFERROR(IMAGE(CONCATENATE("https://us.pandora.net/on/demandware.static/-/Sites-pandora-master-catalog/default/dwbb259ca6/productimages/singlepackshot/",LEFT(A1895,FIND("-",A1895&amp;"-")-1),"_RGB.png")),""))),"{""url"":""https://us.pandora.net/on/demandware.static/-/Sites-pandora-master-catalog/default/dwbb259ca6/productimages/singlepackshot/292334C02_RGB.png"",""mode"":1}")</f>
        <v>{"url":"https://us.pandora.net/on/demandware.static/-/Sites-pandora-master-catalog/default/dwbb259ca6/productimages/singlepackshot/292334C02_RGB.png","mode":1}</v>
      </c>
      <c r="D1895" s="5" t="str">
        <f ca="1">IFERROR(ROWSDUMMYFUNCTION(IF(A1895="","",CONCATENATE("https://us.pandora.net/on/demandware.static/-/Sites-pandora-master-catalog/default/dwbb259ca6/productimages/singlepackshot/",LEFT(A1895,FIND("-",A1895&amp;"-")-1),"_RGB.png"))),"https://us.pandora.net/on/demandware.static/-/Sites-pandora-master-catalog/default/dwbb259ca6/productimages/singlepackshot/292334C02_RGB.png")</f>
        <v>https://us.pandora.net/on/demandware.static/-/Sites-pandora-master-catalog/default/dwbb259ca6/productimages/singlepackshot/292334C02_RGB.png</v>
      </c>
    </row>
    <row r="1896" spans="1:4" x14ac:dyDescent="0.25">
      <c r="A1896" s="3" t="s">
        <v>1898</v>
      </c>
      <c r="B1896" s="4">
        <v>49</v>
      </c>
      <c r="C1896" s="3" t="str">
        <f ca="1">IFERROR(ROWSDUMMYFUNCTION(IF(A1896="","",IFERROR(IMAGE(CONCATENATE("https://us.pandora.net/on/demandware.static/-/Sites-pandora-master-catalog/default/dwbb259ca6/productimages/singlepackshot/",LEFT(A1896,FIND("-",A1896&amp;"-")-1),"_RGB.png")),""))),"{""url"":""https://us.pandora.net/on/demandware.static/-/Sites-pandora-master-catalog/default/dwbb259ca6/productimages/singlepackshot/292334C03_RGB.png"",""mode"":1}")</f>
        <v>{"url":"https://us.pandora.net/on/demandware.static/-/Sites-pandora-master-catalog/default/dwbb259ca6/productimages/singlepackshot/292334C03_RGB.png","mode":1}</v>
      </c>
      <c r="D1896" s="5" t="str">
        <f ca="1">IFERROR(ROWSDUMMYFUNCTION(IF(A1896="","",CONCATENATE("https://us.pandora.net/on/demandware.static/-/Sites-pandora-master-catalog/default/dwbb259ca6/productimages/singlepackshot/",LEFT(A1896,FIND("-",A1896&amp;"-")-1),"_RGB.png"))),"https://us.pandora.net/on/demandware.static/-/Sites-pandora-master-catalog/default/dwbb259ca6/productimages/singlepackshot/292334C03_RGB.png")</f>
        <v>https://us.pandora.net/on/demandware.static/-/Sites-pandora-master-catalog/default/dwbb259ca6/productimages/singlepackshot/292334C03_RGB.png</v>
      </c>
    </row>
    <row r="1897" spans="1:4" x14ac:dyDescent="0.25">
      <c r="A1897" s="3" t="s">
        <v>1899</v>
      </c>
      <c r="B1897" s="4">
        <v>49</v>
      </c>
      <c r="C1897" s="3" t="str">
        <f ca="1">IFERROR(ROWSDUMMYFUNCTION(IF(A1897="","",IFERROR(IMAGE(CONCATENATE("https://us.pandora.net/on/demandware.static/-/Sites-pandora-master-catalog/default/dwbb259ca6/productimages/singlepackshot/",LEFT(A1897,FIND("-",A1897&amp;"-")-1),"_RGB.png")),""))),"{""url"":""https://us.pandora.net/on/demandware.static/-/Sites-pandora-master-catalog/default/dwbb259ca6/productimages/singlepackshot/292334C04_RGB.png"",""mode"":1}")</f>
        <v>{"url":"https://us.pandora.net/on/demandware.static/-/Sites-pandora-master-catalog/default/dwbb259ca6/productimages/singlepackshot/292334C04_RGB.png","mode":1}</v>
      </c>
      <c r="D1897" s="5" t="str">
        <f ca="1">IFERROR(ROWSDUMMYFUNCTION(IF(A1897="","",CONCATENATE("https://us.pandora.net/on/demandware.static/-/Sites-pandora-master-catalog/default/dwbb259ca6/productimages/singlepackshot/",LEFT(A1897,FIND("-",A1897&amp;"-")-1),"_RGB.png"))),"https://us.pandora.net/on/demandware.static/-/Sites-pandora-master-catalog/default/dwbb259ca6/productimages/singlepackshot/292334C04_RGB.png")</f>
        <v>https://us.pandora.net/on/demandware.static/-/Sites-pandora-master-catalog/default/dwbb259ca6/productimages/singlepackshot/292334C04_RGB.png</v>
      </c>
    </row>
    <row r="1898" spans="1:4" x14ac:dyDescent="0.25">
      <c r="A1898" s="3" t="s">
        <v>1900</v>
      </c>
      <c r="B1898" s="4">
        <v>49</v>
      </c>
      <c r="C1898" s="3" t="str">
        <f ca="1">IFERROR(ROWSDUMMYFUNCTION(IF(A1898="","",IFERROR(IMAGE(CONCATENATE("https://us.pandora.net/on/demandware.static/-/Sites-pandora-master-catalog/default/dwbb259ca6/productimages/singlepackshot/",LEFT(A1898,FIND("-",A1898&amp;"-")-1),"_RGB.png")),""))),"{""url"":""https://us.pandora.net/on/demandware.static/-/Sites-pandora-master-catalog/default/dwbb259ca6/productimages/singlepackshot/292334C05_RGB.png"",""mode"":1}")</f>
        <v>{"url":"https://us.pandora.net/on/demandware.static/-/Sites-pandora-master-catalog/default/dwbb259ca6/productimages/singlepackshot/292334C05_RGB.png","mode":1}</v>
      </c>
      <c r="D1898" s="5" t="str">
        <f ca="1">IFERROR(ROWSDUMMYFUNCTION(IF(A1898="","",CONCATENATE("https://us.pandora.net/on/demandware.static/-/Sites-pandora-master-catalog/default/dwbb259ca6/productimages/singlepackshot/",LEFT(A1898,FIND("-",A1898&amp;"-")-1),"_RGB.png"))),"https://us.pandora.net/on/demandware.static/-/Sites-pandora-master-catalog/default/dwbb259ca6/productimages/singlepackshot/292334C05_RGB.png")</f>
        <v>https://us.pandora.net/on/demandware.static/-/Sites-pandora-master-catalog/default/dwbb259ca6/productimages/singlepackshot/292334C05_RGB.png</v>
      </c>
    </row>
    <row r="1899" spans="1:4" x14ac:dyDescent="0.25">
      <c r="A1899" s="3" t="s">
        <v>1901</v>
      </c>
      <c r="B1899" s="4">
        <v>49</v>
      </c>
      <c r="C1899" s="3" t="str">
        <f ca="1">IFERROR(ROWSDUMMYFUNCTION(IF(A1899="","",IFERROR(IMAGE(CONCATENATE("https://us.pandora.net/on/demandware.static/-/Sites-pandora-master-catalog/default/dwbb259ca6/productimages/singlepackshot/",LEFT(A1899,FIND("-",A1899&amp;"-")-1),"_RGB.png")),""))),"{""url"":""https://us.pandora.net/on/demandware.static/-/Sites-pandora-master-catalog/default/dwbb259ca6/productimages/singlepackshot/292334C06_RGB.png"",""mode"":1}")</f>
        <v>{"url":"https://us.pandora.net/on/demandware.static/-/Sites-pandora-master-catalog/default/dwbb259ca6/productimages/singlepackshot/292334C06_RGB.png","mode":1}</v>
      </c>
      <c r="D1899" s="5" t="str">
        <f ca="1">IFERROR(ROWSDUMMYFUNCTION(IF(A1899="","",CONCATENATE("https://us.pandora.net/on/demandware.static/-/Sites-pandora-master-catalog/default/dwbb259ca6/productimages/singlepackshot/",LEFT(A1899,FIND("-",A1899&amp;"-")-1),"_RGB.png"))),"https://us.pandora.net/on/demandware.static/-/Sites-pandora-master-catalog/default/dwbb259ca6/productimages/singlepackshot/292334C06_RGB.png")</f>
        <v>https://us.pandora.net/on/demandware.static/-/Sites-pandora-master-catalog/default/dwbb259ca6/productimages/singlepackshot/292334C06_RGB.png</v>
      </c>
    </row>
    <row r="1900" spans="1:4" x14ac:dyDescent="0.25">
      <c r="A1900" s="3" t="s">
        <v>1902</v>
      </c>
      <c r="B1900" s="4">
        <v>49</v>
      </c>
      <c r="C1900" s="3" t="str">
        <f ca="1">IFERROR(ROWSDUMMYFUNCTION(IF(A1900="","",IFERROR(IMAGE(CONCATENATE("https://us.pandora.net/on/demandware.static/-/Sites-pandora-master-catalog/default/dwbb259ca6/productimages/singlepackshot/",LEFT(A1900,FIND("-",A1900&amp;"-")-1),"_RGB.png")),""))),"{""url"":""https://us.pandora.net/on/demandware.static/-/Sites-pandora-master-catalog/default/dwbb259ca6/productimages/singlepackshot/292334C07_RGB.png"",""mode"":1}")</f>
        <v>{"url":"https://us.pandora.net/on/demandware.static/-/Sites-pandora-master-catalog/default/dwbb259ca6/productimages/singlepackshot/292334C07_RGB.png","mode":1}</v>
      </c>
      <c r="D1900" s="5" t="str">
        <f ca="1">IFERROR(ROWSDUMMYFUNCTION(IF(A1900="","",CONCATENATE("https://us.pandora.net/on/demandware.static/-/Sites-pandora-master-catalog/default/dwbb259ca6/productimages/singlepackshot/",LEFT(A1900,FIND("-",A1900&amp;"-")-1),"_RGB.png"))),"https://us.pandora.net/on/demandware.static/-/Sites-pandora-master-catalog/default/dwbb259ca6/productimages/singlepackshot/292334C07_RGB.png")</f>
        <v>https://us.pandora.net/on/demandware.static/-/Sites-pandora-master-catalog/default/dwbb259ca6/productimages/singlepackshot/292334C07_RGB.png</v>
      </c>
    </row>
    <row r="1901" spans="1:4" x14ac:dyDescent="0.25">
      <c r="A1901" s="3" t="s">
        <v>1903</v>
      </c>
      <c r="B1901" s="4">
        <v>49</v>
      </c>
      <c r="C1901" s="3" t="str">
        <f ca="1">IFERROR(ROWSDUMMYFUNCTION(IF(A1901="","",IFERROR(IMAGE(CONCATENATE("https://us.pandora.net/on/demandware.static/-/Sites-pandora-master-catalog/default/dwbb259ca6/productimages/singlepackshot/",LEFT(A1901,FIND("-",A1901&amp;"-")-1),"_RGB.png")),""))),"{""url"":""https://us.pandora.net/on/demandware.static/-/Sites-pandora-master-catalog/default/dwbb259ca6/productimages/singlepackshot/292334C08_RGB.png"",""mode"":1}")</f>
        <v>{"url":"https://us.pandora.net/on/demandware.static/-/Sites-pandora-master-catalog/default/dwbb259ca6/productimages/singlepackshot/292334C08_RGB.png","mode":1}</v>
      </c>
      <c r="D1901" s="5" t="str">
        <f ca="1">IFERROR(ROWSDUMMYFUNCTION(IF(A1901="","",CONCATENATE("https://us.pandora.net/on/demandware.static/-/Sites-pandora-master-catalog/default/dwbb259ca6/productimages/singlepackshot/",LEFT(A1901,FIND("-",A1901&amp;"-")-1),"_RGB.png"))),"https://us.pandora.net/on/demandware.static/-/Sites-pandora-master-catalog/default/dwbb259ca6/productimages/singlepackshot/292334C08_RGB.png")</f>
        <v>https://us.pandora.net/on/demandware.static/-/Sites-pandora-master-catalog/default/dwbb259ca6/productimages/singlepackshot/292334C08_RGB.png</v>
      </c>
    </row>
    <row r="1902" spans="1:4" x14ac:dyDescent="0.25">
      <c r="A1902" s="3" t="s">
        <v>1904</v>
      </c>
      <c r="B1902" s="4">
        <v>49</v>
      </c>
      <c r="C1902" s="3" t="str">
        <f ca="1">IFERROR(ROWSDUMMYFUNCTION(IF(A1902="","",IFERROR(IMAGE(CONCATENATE("https://us.pandora.net/on/demandware.static/-/Sites-pandora-master-catalog/default/dwbb259ca6/productimages/singlepackshot/",LEFT(A1902,FIND("-",A1902&amp;"-")-1),"_RGB.png")),""))),"{""url"":""https://us.pandora.net/on/demandware.static/-/Sites-pandora-master-catalog/default/dwbb259ca6/productimages/singlepackshot/292334C09_RGB.png"",""mode"":1}")</f>
        <v>{"url":"https://us.pandora.net/on/demandware.static/-/Sites-pandora-master-catalog/default/dwbb259ca6/productimages/singlepackshot/292334C09_RGB.png","mode":1}</v>
      </c>
      <c r="D1902" s="5" t="str">
        <f ca="1">IFERROR(ROWSDUMMYFUNCTION(IF(A1902="","",CONCATENATE("https://us.pandora.net/on/demandware.static/-/Sites-pandora-master-catalog/default/dwbb259ca6/productimages/singlepackshot/",LEFT(A1902,FIND("-",A1902&amp;"-")-1),"_RGB.png"))),"https://us.pandora.net/on/demandware.static/-/Sites-pandora-master-catalog/default/dwbb259ca6/productimages/singlepackshot/292334C09_RGB.png")</f>
        <v>https://us.pandora.net/on/demandware.static/-/Sites-pandora-master-catalog/default/dwbb259ca6/productimages/singlepackshot/292334C09_RGB.png</v>
      </c>
    </row>
    <row r="1903" spans="1:4" x14ac:dyDescent="0.25">
      <c r="A1903" s="3" t="s">
        <v>1905</v>
      </c>
      <c r="B1903" s="4">
        <v>49</v>
      </c>
      <c r="C1903" s="3" t="str">
        <f ca="1">IFERROR(ROWSDUMMYFUNCTION(IF(A1903="","",IFERROR(IMAGE(CONCATENATE("https://us.pandora.net/on/demandware.static/-/Sites-pandora-master-catalog/default/dwbb259ca6/productimages/singlepackshot/",LEFT(A1903,FIND("-",A1903&amp;"-")-1),"_RGB.png")),""))),"{""url"":""https://us.pandora.net/on/demandware.static/-/Sites-pandora-master-catalog/default/dwbb259ca6/productimages/singlepackshot/292335C01_RGB.png"",""mode"":1}")</f>
        <v>{"url":"https://us.pandora.net/on/demandware.static/-/Sites-pandora-master-catalog/default/dwbb259ca6/productimages/singlepackshot/292335C01_RGB.png","mode":1}</v>
      </c>
      <c r="D1903" s="5" t="str">
        <f ca="1">IFERROR(ROWSDUMMYFUNCTION(IF(A1903="","",CONCATENATE("https://us.pandora.net/on/demandware.static/-/Sites-pandora-master-catalog/default/dwbb259ca6/productimages/singlepackshot/",LEFT(A1903,FIND("-",A1903&amp;"-")-1),"_RGB.png"))),"https://us.pandora.net/on/demandware.static/-/Sites-pandora-master-catalog/default/dwbb259ca6/productimages/singlepackshot/292335C01_RGB.png")</f>
        <v>https://us.pandora.net/on/demandware.static/-/Sites-pandora-master-catalog/default/dwbb259ca6/productimages/singlepackshot/292335C01_RGB.png</v>
      </c>
    </row>
    <row r="1904" spans="1:4" x14ac:dyDescent="0.25">
      <c r="A1904" s="3" t="s">
        <v>1906</v>
      </c>
      <c r="B1904" s="4">
        <v>49</v>
      </c>
      <c r="C1904" s="3" t="str">
        <f ca="1">IFERROR(ROWSDUMMYFUNCTION(IF(A1904="","",IFERROR(IMAGE(CONCATENATE("https://us.pandora.net/on/demandware.static/-/Sites-pandora-master-catalog/default/dwbb259ca6/productimages/singlepackshot/",LEFT(A1904,FIND("-",A1904&amp;"-")-1),"_RGB.png")),""))),"{""url"":""https://us.pandora.net/on/demandware.static/-/Sites-pandora-master-catalog/default/dwbb259ca6/productimages/singlepackshot/292335C02_RGB.png"",""mode"":1}")</f>
        <v>{"url":"https://us.pandora.net/on/demandware.static/-/Sites-pandora-master-catalog/default/dwbb259ca6/productimages/singlepackshot/292335C02_RGB.png","mode":1}</v>
      </c>
      <c r="D1904" s="5" t="str">
        <f ca="1">IFERROR(ROWSDUMMYFUNCTION(IF(A1904="","",CONCATENATE("https://us.pandora.net/on/demandware.static/-/Sites-pandora-master-catalog/default/dwbb259ca6/productimages/singlepackshot/",LEFT(A1904,FIND("-",A1904&amp;"-")-1),"_RGB.png"))),"https://us.pandora.net/on/demandware.static/-/Sites-pandora-master-catalog/default/dwbb259ca6/productimages/singlepackshot/292335C02_RGB.png")</f>
        <v>https://us.pandora.net/on/demandware.static/-/Sites-pandora-master-catalog/default/dwbb259ca6/productimages/singlepackshot/292335C02_RGB.png</v>
      </c>
    </row>
    <row r="1905" spans="1:4" x14ac:dyDescent="0.25">
      <c r="A1905" s="3" t="s">
        <v>1907</v>
      </c>
      <c r="B1905" s="4">
        <v>49</v>
      </c>
      <c r="C1905" s="3" t="str">
        <f ca="1">IFERROR(ROWSDUMMYFUNCTION(IF(A1905="","",IFERROR(IMAGE(CONCATENATE("https://us.pandora.net/on/demandware.static/-/Sites-pandora-master-catalog/default/dwbb259ca6/productimages/singlepackshot/",LEFT(A1905,FIND("-",A1905&amp;"-")-1),"_RGB.png")),""))),"{""url"":""https://us.pandora.net/on/demandware.static/-/Sites-pandora-master-catalog/default/dwbb259ca6/productimages/singlepackshot/292335C03_RGB.png"",""mode"":1}")</f>
        <v>{"url":"https://us.pandora.net/on/demandware.static/-/Sites-pandora-master-catalog/default/dwbb259ca6/productimages/singlepackshot/292335C03_RGB.png","mode":1}</v>
      </c>
      <c r="D1905" s="5" t="str">
        <f ca="1">IFERROR(ROWSDUMMYFUNCTION(IF(A1905="","",CONCATENATE("https://us.pandora.net/on/demandware.static/-/Sites-pandora-master-catalog/default/dwbb259ca6/productimages/singlepackshot/",LEFT(A1905,FIND("-",A1905&amp;"-")-1),"_RGB.png"))),"https://us.pandora.net/on/demandware.static/-/Sites-pandora-master-catalog/default/dwbb259ca6/productimages/singlepackshot/292335C03_RGB.png")</f>
        <v>https://us.pandora.net/on/demandware.static/-/Sites-pandora-master-catalog/default/dwbb259ca6/productimages/singlepackshot/292335C03_RGB.png</v>
      </c>
    </row>
    <row r="1906" spans="1:4" x14ac:dyDescent="0.25">
      <c r="A1906" s="3" t="s">
        <v>1908</v>
      </c>
      <c r="B1906" s="4">
        <v>69</v>
      </c>
      <c r="C1906" s="3" t="str">
        <f ca="1">IFERROR(ROWSDUMMYFUNCTION(IF(A1906="","",IFERROR(IMAGE(CONCATENATE("https://us.pandora.net/on/demandware.static/-/Sites-pandora-master-catalog/default/dwbb259ca6/productimages/singlepackshot/",LEFT(A1906,FIND("-",A1906&amp;"-")-1),"_RGB.png")),""))),"{""url"":""https://us.pandora.net/on/demandware.static/-/Sites-pandora-master-catalog/default/dwbb259ca6/productimages/singlepackshot/292407C01_RGB.png"",""mode"":1}")</f>
        <v>{"url":"https://us.pandora.net/on/demandware.static/-/Sites-pandora-master-catalog/default/dwbb259ca6/productimages/singlepackshot/292407C01_RGB.png","mode":1}</v>
      </c>
      <c r="D1906" s="5" t="str">
        <f ca="1">IFERROR(ROWSDUMMYFUNCTION(IF(A1906="","",CONCATENATE("https://us.pandora.net/on/demandware.static/-/Sites-pandora-master-catalog/default/dwbb259ca6/productimages/singlepackshot/",LEFT(A1906,FIND("-",A1906&amp;"-")-1),"_RGB.png"))),"https://us.pandora.net/on/demandware.static/-/Sites-pandora-master-catalog/default/dwbb259ca6/productimages/singlepackshot/292407C01_RGB.png")</f>
        <v>https://us.pandora.net/on/demandware.static/-/Sites-pandora-master-catalog/default/dwbb259ca6/productimages/singlepackshot/292407C01_RGB.png</v>
      </c>
    </row>
    <row r="1907" spans="1:4" x14ac:dyDescent="0.25">
      <c r="A1907" s="3" t="s">
        <v>1909</v>
      </c>
      <c r="B1907" s="4">
        <v>69</v>
      </c>
      <c r="C1907" s="3" t="str">
        <f ca="1">IFERROR(ROWSDUMMYFUNCTION(IF(A1907="","",IFERROR(IMAGE(CONCATENATE("https://us.pandora.net/on/demandware.static/-/Sites-pandora-master-catalog/default/dwbb259ca6/productimages/singlepackshot/",LEFT(A1907,FIND("-",A1907&amp;"-")-1),"_RGB.png")),""))),"{""url"":""https://us.pandora.net/on/demandware.static/-/Sites-pandora-master-catalog/default/dwbb259ca6/productimages/singlepackshot/292545C01_RGB.png"",""mode"":1}")</f>
        <v>{"url":"https://us.pandora.net/on/demandware.static/-/Sites-pandora-master-catalog/default/dwbb259ca6/productimages/singlepackshot/292545C01_RGB.png","mode":1}</v>
      </c>
      <c r="D1907" s="5" t="str">
        <f ca="1">IFERROR(ROWSDUMMYFUNCTION(IF(A1907="","",CONCATENATE("https://us.pandora.net/on/demandware.static/-/Sites-pandora-master-catalog/default/dwbb259ca6/productimages/singlepackshot/",LEFT(A1907,FIND("-",A1907&amp;"-")-1),"_RGB.png"))),"https://us.pandora.net/on/demandware.static/-/Sites-pandora-master-catalog/default/dwbb259ca6/productimages/singlepackshot/292545C01_RGB.png")</f>
        <v>https://us.pandora.net/on/demandware.static/-/Sites-pandora-master-catalog/default/dwbb259ca6/productimages/singlepackshot/292545C01_RGB.png</v>
      </c>
    </row>
    <row r="1908" spans="1:4" x14ac:dyDescent="0.25">
      <c r="A1908" s="3" t="s">
        <v>1910</v>
      </c>
      <c r="B1908" s="4">
        <v>59</v>
      </c>
      <c r="C1908" s="3" t="str">
        <f ca="1">IFERROR(ROWSDUMMYFUNCTION(IF(A1908="","",IFERROR(IMAGE(CONCATENATE("https://us.pandora.net/on/demandware.static/-/Sites-pandora-master-catalog/default/dwbb259ca6/productimages/singlepackshot/",LEFT(A1908,FIND("-",A1908&amp;"-")-1),"_RGB.png")),""))),"{""url"":""https://us.pandora.net/on/demandware.static/-/Sites-pandora-master-catalog/default/dwbb259ca6/productimages/singlepackshot/292549C01_RGB.png"",""mode"":1}")</f>
        <v>{"url":"https://us.pandora.net/on/demandware.static/-/Sites-pandora-master-catalog/default/dwbb259ca6/productimages/singlepackshot/292549C01_RGB.png","mode":1}</v>
      </c>
      <c r="D1908" s="5" t="str">
        <f ca="1">IFERROR(ROWSDUMMYFUNCTION(IF(A1908="","",CONCATENATE("https://us.pandora.net/on/demandware.static/-/Sites-pandora-master-catalog/default/dwbb259ca6/productimages/singlepackshot/",LEFT(A1908,FIND("-",A1908&amp;"-")-1),"_RGB.png"))),"https://us.pandora.net/on/demandware.static/-/Sites-pandora-master-catalog/default/dwbb259ca6/productimages/singlepackshot/292549C01_RGB.png")</f>
        <v>https://us.pandora.net/on/demandware.static/-/Sites-pandora-master-catalog/default/dwbb259ca6/productimages/singlepackshot/292549C01_RGB.png</v>
      </c>
    </row>
    <row r="1909" spans="1:4" x14ac:dyDescent="0.25">
      <c r="A1909" s="3" t="s">
        <v>1911</v>
      </c>
      <c r="B1909" s="4">
        <v>89</v>
      </c>
      <c r="C1909" s="3" t="str">
        <f ca="1">IFERROR(ROWSDUMMYFUNCTION(IF(A1909="","",IFERROR(IMAGE(CONCATENATE("https://us.pandora.net/on/demandware.static/-/Sites-pandora-master-catalog/default/dwbb259ca6/productimages/singlepackshot/",LEFT(A1909,FIND("-",A1909&amp;"-")-1),"_RGB.png")),""))),"{""url"":""https://us.pandora.net/on/demandware.static/-/Sites-pandora-master-catalog/default/dwbb259ca6/productimages/singlepackshot/292624C01_RGB.png"",""mode"":1}")</f>
        <v>{"url":"https://us.pandora.net/on/demandware.static/-/Sites-pandora-master-catalog/default/dwbb259ca6/productimages/singlepackshot/292624C01_RGB.png","mode":1}</v>
      </c>
      <c r="D1909" s="5" t="str">
        <f ca="1">IFERROR(ROWSDUMMYFUNCTION(IF(A1909="","",CONCATENATE("https://us.pandora.net/on/demandware.static/-/Sites-pandora-master-catalog/default/dwbb259ca6/productimages/singlepackshot/",LEFT(A1909,FIND("-",A1909&amp;"-")-1),"_RGB.png"))),"https://us.pandora.net/on/demandware.static/-/Sites-pandora-master-catalog/default/dwbb259ca6/productimages/singlepackshot/292624C01_RGB.png")</f>
        <v>https://us.pandora.net/on/demandware.static/-/Sites-pandora-master-catalog/default/dwbb259ca6/productimages/singlepackshot/292624C01_RGB.png</v>
      </c>
    </row>
    <row r="1910" spans="1:4" x14ac:dyDescent="0.25">
      <c r="A1910" s="3" t="s">
        <v>1912</v>
      </c>
      <c r="B1910" s="4">
        <v>69</v>
      </c>
      <c r="C1910" s="3" t="str">
        <f ca="1">IFERROR(ROWSDUMMYFUNCTION(IF(A1910="","",IFERROR(IMAGE(CONCATENATE("https://us.pandora.net/on/demandware.static/-/Sites-pandora-master-catalog/default/dwbb259ca6/productimages/singlepackshot/",LEFT(A1910,FIND("-",A1910&amp;"-")-1),"_RGB.png")),""))),"{""url"":""https://us.pandora.net/on/demandware.static/-/Sites-pandora-master-catalog/default/dwbb259ca6/productimages/singlepackshot/292633C01_RGB.png"",""mode"":1}")</f>
        <v>{"url":"https://us.pandora.net/on/demandware.static/-/Sites-pandora-master-catalog/default/dwbb259ca6/productimages/singlepackshot/292633C01_RGB.png","mode":1}</v>
      </c>
      <c r="D1910" s="5" t="str">
        <f ca="1">IFERROR(ROWSDUMMYFUNCTION(IF(A1910="","",CONCATENATE("https://us.pandora.net/on/demandware.static/-/Sites-pandora-master-catalog/default/dwbb259ca6/productimages/singlepackshot/",LEFT(A1910,FIND("-",A1910&amp;"-")-1),"_RGB.png"))),"https://us.pandora.net/on/demandware.static/-/Sites-pandora-master-catalog/default/dwbb259ca6/productimages/singlepackshot/292633C01_RGB.png")</f>
        <v>https://us.pandora.net/on/demandware.static/-/Sites-pandora-master-catalog/default/dwbb259ca6/productimages/singlepackshot/292633C01_RGB.png</v>
      </c>
    </row>
    <row r="1911" spans="1:4" x14ac:dyDescent="0.25">
      <c r="A1911" s="3" t="s">
        <v>1913</v>
      </c>
      <c r="B1911" s="4">
        <v>49</v>
      </c>
      <c r="C1911" s="3" t="str">
        <f ca="1">IFERROR(ROWSDUMMYFUNCTION(IF(A1911="","",IFERROR(IMAGE(CONCATENATE("https://us.pandora.net/on/demandware.static/-/Sites-pandora-master-catalog/default/dwbb259ca6/productimages/singlepackshot/",LEFT(A1911,FIND("-",A1911&amp;"-")-1),"_RGB.png")),""))),"{""url"":""https://us.pandora.net/on/demandware.static/-/Sites-pandora-master-catalog/default/dwbb259ca6/productimages/singlepackshot/292667C01_RGB.png"",""mode"":1}")</f>
        <v>{"url":"https://us.pandora.net/on/demandware.static/-/Sites-pandora-master-catalog/default/dwbb259ca6/productimages/singlepackshot/292667C01_RGB.png","mode":1}</v>
      </c>
      <c r="D1911" s="5" t="str">
        <f ca="1">IFERROR(ROWSDUMMYFUNCTION(IF(A1911="","",CONCATENATE("https://us.pandora.net/on/demandware.static/-/Sites-pandora-master-catalog/default/dwbb259ca6/productimages/singlepackshot/",LEFT(A1911,FIND("-",A1911&amp;"-")-1),"_RGB.png"))),"https://us.pandora.net/on/demandware.static/-/Sites-pandora-master-catalog/default/dwbb259ca6/productimages/singlepackshot/292667C01_RGB.png")</f>
        <v>https://us.pandora.net/on/demandware.static/-/Sites-pandora-master-catalog/default/dwbb259ca6/productimages/singlepackshot/292667C01_RGB.png</v>
      </c>
    </row>
    <row r="1912" spans="1:4" x14ac:dyDescent="0.25">
      <c r="A1912" s="3" t="s">
        <v>1914</v>
      </c>
      <c r="B1912" s="4">
        <v>49</v>
      </c>
      <c r="C1912" s="3" t="str">
        <f ca="1">IFERROR(ROWSDUMMYFUNCTION(IF(A1912="","",IFERROR(IMAGE(CONCATENATE("https://us.pandora.net/on/demandware.static/-/Sites-pandora-master-catalog/default/dwbb259ca6/productimages/singlepackshot/",LEFT(A1912,FIND("-",A1912&amp;"-")-1),"_RGB.png")),""))),"{""url"":""https://us.pandora.net/on/demandware.static/-/Sites-pandora-master-catalog/default/dwbb259ca6/productimages/singlepackshot/292728C00_RGB.png"",""mode"":1}")</f>
        <v>{"url":"https://us.pandora.net/on/demandware.static/-/Sites-pandora-master-catalog/default/dwbb259ca6/productimages/singlepackshot/292728C00_RGB.png","mode":1}</v>
      </c>
      <c r="D1912" s="5" t="str">
        <f ca="1">IFERROR(ROWSDUMMYFUNCTION(IF(A1912="","",CONCATENATE("https://us.pandora.net/on/demandware.static/-/Sites-pandora-master-catalog/default/dwbb259ca6/productimages/singlepackshot/",LEFT(A1912,FIND("-",A1912&amp;"-")-1),"_RGB.png"))),"https://us.pandora.net/on/demandware.static/-/Sites-pandora-master-catalog/default/dwbb259ca6/productimages/singlepackshot/292728C00_RGB.png")</f>
        <v>https://us.pandora.net/on/demandware.static/-/Sites-pandora-master-catalog/default/dwbb259ca6/productimages/singlepackshot/292728C00_RGB.png</v>
      </c>
    </row>
    <row r="1913" spans="1:4" x14ac:dyDescent="0.25">
      <c r="A1913" s="3" t="s">
        <v>1915</v>
      </c>
      <c r="B1913" s="4">
        <v>35</v>
      </c>
      <c r="C1913" s="3" t="str">
        <f ca="1">IFERROR(ROWSDUMMYFUNCTION(IF(A1913="","",IFERROR(IMAGE(CONCATENATE("https://us.pandora.net/on/demandware.static/-/Sites-pandora-master-catalog/default/dwbb259ca6/productimages/singlepackshot/",LEFT(A1913,FIND("-",A1913&amp;"-")-1),"_RGB.png")),""))),"{""url"":""https://us.pandora.net/on/demandware.static/-/Sites-pandora-master-catalog/default/dwbb259ca6/productimages/singlepackshot/292796C01_RGB.png"",""mode"":1}")</f>
        <v>{"url":"https://us.pandora.net/on/demandware.static/-/Sites-pandora-master-catalog/default/dwbb259ca6/productimages/singlepackshot/292796C01_RGB.png","mode":1}</v>
      </c>
      <c r="D1913" s="5" t="str">
        <f ca="1">IFERROR(ROWSDUMMYFUNCTION(IF(A1913="","",CONCATENATE("https://us.pandora.net/on/demandware.static/-/Sites-pandora-master-catalog/default/dwbb259ca6/productimages/singlepackshot/",LEFT(A1913,FIND("-",A1913&amp;"-")-1),"_RGB.png"))),"https://us.pandora.net/on/demandware.static/-/Sites-pandora-master-catalog/default/dwbb259ca6/productimages/singlepackshot/292796C01_RGB.png")</f>
        <v>https://us.pandora.net/on/demandware.static/-/Sites-pandora-master-catalog/default/dwbb259ca6/productimages/singlepackshot/292796C01_RGB.png</v>
      </c>
    </row>
    <row r="1914" spans="1:4" x14ac:dyDescent="0.25">
      <c r="A1914" s="3" t="s">
        <v>1916</v>
      </c>
      <c r="B1914" s="4">
        <v>59</v>
      </c>
      <c r="C1914" s="3" t="str">
        <f ca="1">IFERROR(ROWSDUMMYFUNCTION(IF(A1914="","",IFERROR(IMAGE(CONCATENATE("https://us.pandora.net/on/demandware.static/-/Sites-pandora-master-catalog/default/dwbb259ca6/productimages/singlepackshot/",LEFT(A1914,FIND("-",A1914&amp;"-")-1),"_RGB.png")),""))),"{""url"":""https://us.pandora.net/on/demandware.static/-/Sites-pandora-master-catalog/default/dwbb259ca6/productimages/singlepackshot/292834C01_RGB.png"",""mode"":1}")</f>
        <v>{"url":"https://us.pandora.net/on/demandware.static/-/Sites-pandora-master-catalog/default/dwbb259ca6/productimages/singlepackshot/292834C01_RGB.png","mode":1}</v>
      </c>
      <c r="D1914" s="5" t="str">
        <f ca="1">IFERROR(ROWSDUMMYFUNCTION(IF(A1914="","",CONCATENATE("https://us.pandora.net/on/demandware.static/-/Sites-pandora-master-catalog/default/dwbb259ca6/productimages/singlepackshot/",LEFT(A1914,FIND("-",A1914&amp;"-")-1),"_RGB.png"))),"https://us.pandora.net/on/demandware.static/-/Sites-pandora-master-catalog/default/dwbb259ca6/productimages/singlepackshot/292834C01_RGB.png")</f>
        <v>https://us.pandora.net/on/demandware.static/-/Sites-pandora-master-catalog/default/dwbb259ca6/productimages/singlepackshot/292834C01_RGB.png</v>
      </c>
    </row>
    <row r="1915" spans="1:4" x14ac:dyDescent="0.25">
      <c r="A1915" s="3" t="s">
        <v>1917</v>
      </c>
      <c r="B1915" s="4">
        <v>39</v>
      </c>
      <c r="C1915" s="3" t="str">
        <f ca="1">IFERROR(ROWSDUMMYFUNCTION(IF(A1915="","",IFERROR(IMAGE(CONCATENATE("https://us.pandora.net/on/demandware.static/-/Sites-pandora-master-catalog/default/dwbb259ca6/productimages/singlepackshot/",LEFT(A1915,FIND("-",A1915&amp;"-")-1),"_RGB.png")),""))),"{""url"":""https://us.pandora.net/on/demandware.static/-/Sites-pandora-master-catalog/default/dwbb259ca6/productimages/singlepackshot/292990C01_RGB.png"",""mode"":1}")</f>
        <v>{"url":"https://us.pandora.net/on/demandware.static/-/Sites-pandora-master-catalog/default/dwbb259ca6/productimages/singlepackshot/292990C01_RGB.png","mode":1}</v>
      </c>
      <c r="D1915" s="5" t="str">
        <f ca="1">IFERROR(ROWSDUMMYFUNCTION(IF(A1915="","",CONCATENATE("https://us.pandora.net/on/demandware.static/-/Sites-pandora-master-catalog/default/dwbb259ca6/productimages/singlepackshot/",LEFT(A1915,FIND("-",A1915&amp;"-")-1),"_RGB.png"))),"https://us.pandora.net/on/demandware.static/-/Sites-pandora-master-catalog/default/dwbb259ca6/productimages/singlepackshot/292990C01_RGB.png")</f>
        <v>https://us.pandora.net/on/demandware.static/-/Sites-pandora-master-catalog/default/dwbb259ca6/productimages/singlepackshot/292990C01_RGB.png</v>
      </c>
    </row>
    <row r="1916" spans="1:4" x14ac:dyDescent="0.25">
      <c r="A1916" s="3" t="s">
        <v>1918</v>
      </c>
      <c r="B1916" s="4">
        <v>35</v>
      </c>
      <c r="C1916" s="3" t="str">
        <f ca="1">IFERROR(ROWSDUMMYFUNCTION(IF(A1916="","",IFERROR(IMAGE(CONCATENATE("https://us.pandora.net/on/demandware.static/-/Sites-pandora-master-catalog/default/dwbb259ca6/productimages/singlepackshot/",LEFT(A1916,FIND("-",A1916&amp;"-")-1),"_RGB.png")),""))),"{""url"":""https://us.pandora.net/on/demandware.static/-/Sites-pandora-master-catalog/default/dwbb259ca6/productimages/singlepackshot/293003C01_RGB.png"",""mode"":1}")</f>
        <v>{"url":"https://us.pandora.net/on/demandware.static/-/Sites-pandora-master-catalog/default/dwbb259ca6/productimages/singlepackshot/293003C01_RGB.png","mode":1}</v>
      </c>
      <c r="D1916" s="5" t="str">
        <f ca="1">IFERROR(ROWSDUMMYFUNCTION(IF(A1916="","",CONCATENATE("https://us.pandora.net/on/demandware.static/-/Sites-pandora-master-catalog/default/dwbb259ca6/productimages/singlepackshot/",LEFT(A1916,FIND("-",A1916&amp;"-")-1),"_RGB.png"))),"https://us.pandora.net/on/demandware.static/-/Sites-pandora-master-catalog/default/dwbb259ca6/productimages/singlepackshot/293003C01_RGB.png")</f>
        <v>https://us.pandora.net/on/demandware.static/-/Sites-pandora-master-catalog/default/dwbb259ca6/productimages/singlepackshot/293003C01_RGB.png</v>
      </c>
    </row>
    <row r="1917" spans="1:4" x14ac:dyDescent="0.25">
      <c r="A1917" s="3" t="s">
        <v>1919</v>
      </c>
      <c r="B1917" s="4">
        <v>49</v>
      </c>
      <c r="C1917" s="3" t="str">
        <f ca="1">IFERROR(ROWSDUMMYFUNCTION(IF(A1917="","",IFERROR(IMAGE(CONCATENATE("https://us.pandora.net/on/demandware.static/-/Sites-pandora-master-catalog/default/dwbb259ca6/productimages/singlepackshot/",LEFT(A1917,FIND("-",A1917&amp;"-")-1),"_RGB.png")),""))),"{""url"":""https://us.pandora.net/on/demandware.static/-/Sites-pandora-master-catalog/default/dwbb259ca6/productimages/singlepackshot/293015C01_RGB.png"",""mode"":1}")</f>
        <v>{"url":"https://us.pandora.net/on/demandware.static/-/Sites-pandora-master-catalog/default/dwbb259ca6/productimages/singlepackshot/293015C01_RGB.png","mode":1}</v>
      </c>
      <c r="D1917" s="5" t="str">
        <f ca="1">IFERROR(ROWSDUMMYFUNCTION(IF(A1917="","",CONCATENATE("https://us.pandora.net/on/demandware.static/-/Sites-pandora-master-catalog/default/dwbb259ca6/productimages/singlepackshot/",LEFT(A1917,FIND("-",A1917&amp;"-")-1),"_RGB.png"))),"https://us.pandora.net/on/demandware.static/-/Sites-pandora-master-catalog/default/dwbb259ca6/productimages/singlepackshot/293015C01_RGB.png")</f>
        <v>https://us.pandora.net/on/demandware.static/-/Sites-pandora-master-catalog/default/dwbb259ca6/productimages/singlepackshot/293015C01_RGB.png</v>
      </c>
    </row>
    <row r="1918" spans="1:4" x14ac:dyDescent="0.25">
      <c r="A1918" s="3" t="s">
        <v>1920</v>
      </c>
      <c r="B1918" s="4">
        <v>129</v>
      </c>
      <c r="C1918" s="3" t="str">
        <f ca="1">IFERROR(ROWSDUMMYFUNCTION(IF(A1918="","",IFERROR(IMAGE(CONCATENATE("https://us.pandora.net/on/demandware.static/-/Sites-pandora-master-catalog/default/dwbb259ca6/productimages/singlepackshot/",LEFT(A1918,FIND("-",A1918&amp;"-")-1),"_RGB.png")),""))),"{""url"":""https://us.pandora.net/on/demandware.static/-/Sites-pandora-master-catalog/default/dwbb259ca6/productimages/singlepackshot/293016C01_RGB.png"",""mode"":1}")</f>
        <v>{"url":"https://us.pandora.net/on/demandware.static/-/Sites-pandora-master-catalog/default/dwbb259ca6/productimages/singlepackshot/293016C01_RGB.png","mode":1}</v>
      </c>
      <c r="D1918" s="5" t="str">
        <f ca="1">IFERROR(ROWSDUMMYFUNCTION(IF(A1918="","",CONCATENATE("https://us.pandora.net/on/demandware.static/-/Sites-pandora-master-catalog/default/dwbb259ca6/productimages/singlepackshot/",LEFT(A1918,FIND("-",A1918&amp;"-")-1),"_RGB.png"))),"https://us.pandora.net/on/demandware.static/-/Sites-pandora-master-catalog/default/dwbb259ca6/productimages/singlepackshot/293016C01_RGB.png")</f>
        <v>https://us.pandora.net/on/demandware.static/-/Sites-pandora-master-catalog/default/dwbb259ca6/productimages/singlepackshot/293016C01_RGB.png</v>
      </c>
    </row>
    <row r="1919" spans="1:4" x14ac:dyDescent="0.25">
      <c r="A1919" s="3" t="s">
        <v>1921</v>
      </c>
      <c r="B1919" s="4">
        <v>39</v>
      </c>
      <c r="C1919" s="3" t="str">
        <f ca="1">IFERROR(ROWSDUMMYFUNCTION(IF(A1919="","",IFERROR(IMAGE(CONCATENATE("https://us.pandora.net/on/demandware.static/-/Sites-pandora-master-catalog/default/dwbb259ca6/productimages/singlepackshot/",LEFT(A1919,FIND("-",A1919&amp;"-")-1),"_RGB.png")),""))),"{""url"":""https://us.pandora.net/on/demandware.static/-/Sites-pandora-master-catalog/default/dwbb259ca6/productimages/singlepackshot/293019C01_RGB.png"",""mode"":1}")</f>
        <v>{"url":"https://us.pandora.net/on/demandware.static/-/Sites-pandora-master-catalog/default/dwbb259ca6/productimages/singlepackshot/293019C01_RGB.png","mode":1}</v>
      </c>
      <c r="D1919" s="5" t="str">
        <f ca="1">IFERROR(ROWSDUMMYFUNCTION(IF(A1919="","",CONCATENATE("https://us.pandora.net/on/demandware.static/-/Sites-pandora-master-catalog/default/dwbb259ca6/productimages/singlepackshot/",LEFT(A1919,FIND("-",A1919&amp;"-")-1),"_RGB.png"))),"https://us.pandora.net/on/demandware.static/-/Sites-pandora-master-catalog/default/dwbb259ca6/productimages/singlepackshot/293019C01_RGB.png")</f>
        <v>https://us.pandora.net/on/demandware.static/-/Sites-pandora-master-catalog/default/dwbb259ca6/productimages/singlepackshot/293019C01_RGB.png</v>
      </c>
    </row>
    <row r="1920" spans="1:4" x14ac:dyDescent="0.25">
      <c r="A1920" s="3" t="s">
        <v>1922</v>
      </c>
      <c r="B1920" s="4">
        <v>69</v>
      </c>
      <c r="C1920" s="3" t="str">
        <f ca="1">IFERROR(ROWSDUMMYFUNCTION(IF(A1920="","",IFERROR(IMAGE(CONCATENATE("https://us.pandora.net/on/demandware.static/-/Sites-pandora-master-catalog/default/dwbb259ca6/productimages/singlepackshot/",LEFT(A1920,FIND("-",A1920&amp;"-")-1),"_RGB.png")),""))),"{""url"":""https://us.pandora.net/on/demandware.static/-/Sites-pandora-master-catalog/default/dwbb259ca6/productimages/singlepackshot/293097C01_RGB.png"",""mode"":1}")</f>
        <v>{"url":"https://us.pandora.net/on/demandware.static/-/Sites-pandora-master-catalog/default/dwbb259ca6/productimages/singlepackshot/293097C01_RGB.png","mode":1}</v>
      </c>
      <c r="D1920" s="5" t="str">
        <f ca="1">IFERROR(ROWSDUMMYFUNCTION(IF(A1920="","",CONCATENATE("https://us.pandora.net/on/demandware.static/-/Sites-pandora-master-catalog/default/dwbb259ca6/productimages/singlepackshot/",LEFT(A1920,FIND("-",A1920&amp;"-")-1),"_RGB.png"))),"https://us.pandora.net/on/demandware.static/-/Sites-pandora-master-catalog/default/dwbb259ca6/productimages/singlepackshot/293097C01_RGB.png")</f>
        <v>https://us.pandora.net/on/demandware.static/-/Sites-pandora-master-catalog/default/dwbb259ca6/productimages/singlepackshot/293097C01_RGB.png</v>
      </c>
    </row>
    <row r="1921" spans="1:4" x14ac:dyDescent="0.25">
      <c r="A1921" s="3" t="s">
        <v>1923</v>
      </c>
      <c r="B1921" s="4">
        <v>69</v>
      </c>
      <c r="C1921" s="3" t="str">
        <f ca="1">IFERROR(ROWSDUMMYFUNCTION(IF(A1921="","",IFERROR(IMAGE(CONCATENATE("https://us.pandora.net/on/demandware.static/-/Sites-pandora-master-catalog/default/dwbb259ca6/productimages/singlepackshot/",LEFT(A1921,FIND("-",A1921&amp;"-")-1),"_RGB.png")),""))),"{""url"":""https://us.pandora.net/on/demandware.static/-/Sites-pandora-master-catalog/default/dwbb259ca6/productimages/singlepackshot/293101C01_RGB.png"",""mode"":1}")</f>
        <v>{"url":"https://us.pandora.net/on/demandware.static/-/Sites-pandora-master-catalog/default/dwbb259ca6/productimages/singlepackshot/293101C01_RGB.png","mode":1}</v>
      </c>
      <c r="D1921" s="5" t="str">
        <f ca="1">IFERROR(ROWSDUMMYFUNCTION(IF(A1921="","",CONCATENATE("https://us.pandora.net/on/demandware.static/-/Sites-pandora-master-catalog/default/dwbb259ca6/productimages/singlepackshot/",LEFT(A1921,FIND("-",A1921&amp;"-")-1),"_RGB.png"))),"https://us.pandora.net/on/demandware.static/-/Sites-pandora-master-catalog/default/dwbb259ca6/productimages/singlepackshot/293101C01_RGB.png")</f>
        <v>https://us.pandora.net/on/demandware.static/-/Sites-pandora-master-catalog/default/dwbb259ca6/productimages/singlepackshot/293101C01_RGB.png</v>
      </c>
    </row>
    <row r="1922" spans="1:4" x14ac:dyDescent="0.25">
      <c r="A1922" s="3" t="s">
        <v>1924</v>
      </c>
      <c r="B1922" s="4">
        <v>79</v>
      </c>
      <c r="C1922" s="3" t="str">
        <f ca="1">IFERROR(ROWSDUMMYFUNCTION(IF(A1922="","",IFERROR(IMAGE(CONCATENATE("https://us.pandora.net/on/demandware.static/-/Sites-pandora-master-catalog/default/dwbb259ca6/productimages/singlepackshot/",LEFT(A1922,FIND("-",A1922&amp;"-")-1),"_RGB.png")),""))),"{""url"":""https://us.pandora.net/on/demandware.static/-/Sites-pandora-master-catalog/default/dwbb259ca6/productimages/singlepackshot/293150C01_RGB.png"",""mode"":1}")</f>
        <v>{"url":"https://us.pandora.net/on/demandware.static/-/Sites-pandora-master-catalog/default/dwbb259ca6/productimages/singlepackshot/293150C01_RGB.png","mode":1}</v>
      </c>
      <c r="D1922" s="5" t="str">
        <f ca="1">IFERROR(ROWSDUMMYFUNCTION(IF(A1922="","",CONCATENATE("https://us.pandora.net/on/demandware.static/-/Sites-pandora-master-catalog/default/dwbb259ca6/productimages/singlepackshot/",LEFT(A1922,FIND("-",A1922&amp;"-")-1),"_RGB.png"))),"https://us.pandora.net/on/demandware.static/-/Sites-pandora-master-catalog/default/dwbb259ca6/productimages/singlepackshot/293150C01_RGB.png")</f>
        <v>https://us.pandora.net/on/demandware.static/-/Sites-pandora-master-catalog/default/dwbb259ca6/productimages/singlepackshot/293150C01_RGB.png</v>
      </c>
    </row>
    <row r="1923" spans="1:4" x14ac:dyDescent="0.25">
      <c r="A1923" s="3" t="s">
        <v>1925</v>
      </c>
      <c r="B1923" s="4">
        <v>159</v>
      </c>
      <c r="C1923" s="3" t="str">
        <f ca="1">IFERROR(ROWSDUMMYFUNCTION(IF(A1923="","",IFERROR(IMAGE(CONCATENATE("https://us.pandora.net/on/demandware.static/-/Sites-pandora-master-catalog/default/dwbb259ca6/productimages/singlepackshot/",LEFT(A1923,FIND("-",A1923&amp;"-")-1),"_RGB.png")),""))),"{""url"":""https://us.pandora.net/on/demandware.static/-/Sites-pandora-master-catalog/default/dwbb259ca6/productimages/singlepackshot/293152C01_RGB.png"",""mode"":1}")</f>
        <v>{"url":"https://us.pandora.net/on/demandware.static/-/Sites-pandora-master-catalog/default/dwbb259ca6/productimages/singlepackshot/293152C01_RGB.png","mode":1}</v>
      </c>
      <c r="D1923" s="5" t="str">
        <f ca="1">IFERROR(ROWSDUMMYFUNCTION(IF(A1923="","",CONCATENATE("https://us.pandora.net/on/demandware.static/-/Sites-pandora-master-catalog/default/dwbb259ca6/productimages/singlepackshot/",LEFT(A1923,FIND("-",A1923&amp;"-")-1),"_RGB.png"))),"https://us.pandora.net/on/demandware.static/-/Sites-pandora-master-catalog/default/dwbb259ca6/productimages/singlepackshot/293152C01_RGB.png")</f>
        <v>https://us.pandora.net/on/demandware.static/-/Sites-pandora-master-catalog/default/dwbb259ca6/productimages/singlepackshot/293152C01_RGB.png</v>
      </c>
    </row>
    <row r="1924" spans="1:4" x14ac:dyDescent="0.25">
      <c r="A1924" s="3" t="s">
        <v>1926</v>
      </c>
      <c r="B1924" s="4">
        <v>69</v>
      </c>
      <c r="C1924" s="3" t="str">
        <f ca="1">IFERROR(ROWSDUMMYFUNCTION(IF(A1924="","",IFERROR(IMAGE(CONCATENATE("https://us.pandora.net/on/demandware.static/-/Sites-pandora-master-catalog/default/dwbb259ca6/productimages/singlepackshot/",LEFT(A1924,FIND("-",A1924&amp;"-")-1),"_RGB.png")),""))),"{""url"":""https://us.pandora.net/on/demandware.static/-/Sites-pandora-master-catalog/default/dwbb259ca6/productimages/singlepackshot/293154C01_RGB.png"",""mode"":1}")</f>
        <v>{"url":"https://us.pandora.net/on/demandware.static/-/Sites-pandora-master-catalog/default/dwbb259ca6/productimages/singlepackshot/293154C01_RGB.png","mode":1}</v>
      </c>
      <c r="D1924" s="5" t="str">
        <f ca="1">IFERROR(ROWSDUMMYFUNCTION(IF(A1924="","",CONCATENATE("https://us.pandora.net/on/demandware.static/-/Sites-pandora-master-catalog/default/dwbb259ca6/productimages/singlepackshot/",LEFT(A1924,FIND("-",A1924&amp;"-")-1),"_RGB.png"))),"https://us.pandora.net/on/demandware.static/-/Sites-pandora-master-catalog/default/dwbb259ca6/productimages/singlepackshot/293154C01_RGB.png")</f>
        <v>https://us.pandora.net/on/demandware.static/-/Sites-pandora-master-catalog/default/dwbb259ca6/productimages/singlepackshot/293154C01_RGB.png</v>
      </c>
    </row>
    <row r="1925" spans="1:4" x14ac:dyDescent="0.25">
      <c r="A1925" s="3" t="s">
        <v>1927</v>
      </c>
      <c r="B1925" s="4">
        <v>99</v>
      </c>
      <c r="C1925" s="3" t="str">
        <f ca="1">IFERROR(ROWSDUMMYFUNCTION(IF(A1925="","",IFERROR(IMAGE(CONCATENATE("https://us.pandora.net/on/demandware.static/-/Sites-pandora-master-catalog/default/dwbb259ca6/productimages/singlepackshot/",LEFT(A1925,FIND("-",A1925&amp;"-")-1),"_RGB.png")),""))),"{""url"":""https://us.pandora.net/on/demandware.static/-/Sites-pandora-master-catalog/default/dwbb259ca6/productimages/singlepackshot/293159C01_RGB.png"",""mode"":1}")</f>
        <v>{"url":"https://us.pandora.net/on/demandware.static/-/Sites-pandora-master-catalog/default/dwbb259ca6/productimages/singlepackshot/293159C01_RGB.png","mode":1}</v>
      </c>
      <c r="D1925" s="5" t="str">
        <f ca="1">IFERROR(ROWSDUMMYFUNCTION(IF(A1925="","",CONCATENATE("https://us.pandora.net/on/demandware.static/-/Sites-pandora-master-catalog/default/dwbb259ca6/productimages/singlepackshot/",LEFT(A1925,FIND("-",A1925&amp;"-")-1),"_RGB.png"))),"https://us.pandora.net/on/demandware.static/-/Sites-pandora-master-catalog/default/dwbb259ca6/productimages/singlepackshot/293159C01_RGB.png")</f>
        <v>https://us.pandora.net/on/demandware.static/-/Sites-pandora-master-catalog/default/dwbb259ca6/productimages/singlepackshot/293159C01_RGB.png</v>
      </c>
    </row>
    <row r="1926" spans="1:4" x14ac:dyDescent="0.25">
      <c r="A1926" s="3" t="s">
        <v>1928</v>
      </c>
      <c r="B1926" s="4">
        <v>59</v>
      </c>
      <c r="C1926" s="3" t="str">
        <f ca="1">IFERROR(ROWSDUMMYFUNCTION(IF(A1926="","",IFERROR(IMAGE(CONCATENATE("https://us.pandora.net/on/demandware.static/-/Sites-pandora-master-catalog/default/dwbb259ca6/productimages/singlepackshot/",LEFT(A1926,FIND("-",A1926&amp;"-")-1),"_RGB.png")),""))),"{""url"":""https://us.pandora.net/on/demandware.static/-/Sites-pandora-master-catalog/default/dwbb259ca6/productimages/singlepackshot/293168C01_RGB.png"",""mode"":1}")</f>
        <v>{"url":"https://us.pandora.net/on/demandware.static/-/Sites-pandora-master-catalog/default/dwbb259ca6/productimages/singlepackshot/293168C01_RGB.png","mode":1}</v>
      </c>
      <c r="D1926" s="5" t="str">
        <f ca="1">IFERROR(ROWSDUMMYFUNCTION(IF(A1926="","",CONCATENATE("https://us.pandora.net/on/demandware.static/-/Sites-pandora-master-catalog/default/dwbb259ca6/productimages/singlepackshot/",LEFT(A1926,FIND("-",A1926&amp;"-")-1),"_RGB.png"))),"https://us.pandora.net/on/demandware.static/-/Sites-pandora-master-catalog/default/dwbb259ca6/productimages/singlepackshot/293168C01_RGB.png")</f>
        <v>https://us.pandora.net/on/demandware.static/-/Sites-pandora-master-catalog/default/dwbb259ca6/productimages/singlepackshot/293168C01_RGB.png</v>
      </c>
    </row>
    <row r="1927" spans="1:4" x14ac:dyDescent="0.25">
      <c r="A1927" s="3" t="s">
        <v>1929</v>
      </c>
      <c r="B1927" s="4">
        <v>89</v>
      </c>
      <c r="C1927" s="3" t="str">
        <f ca="1">IFERROR(ROWSDUMMYFUNCTION(IF(A1927="","",IFERROR(IMAGE(CONCATENATE("https://us.pandora.net/on/demandware.static/-/Sites-pandora-master-catalog/default/dwbb259ca6/productimages/singlepackshot/",LEFT(A1927,FIND("-",A1927&amp;"-")-1),"_RGB.png")),""))),"{""url"":""https://us.pandora.net/on/demandware.static/-/Sites-pandora-master-catalog/default/dwbb259ca6/productimages/singlepackshot/293169C01_RGB.png"",""mode"":1}")</f>
        <v>{"url":"https://us.pandora.net/on/demandware.static/-/Sites-pandora-master-catalog/default/dwbb259ca6/productimages/singlepackshot/293169C01_RGB.png","mode":1}</v>
      </c>
      <c r="D1927" s="5" t="str">
        <f ca="1">IFERROR(ROWSDUMMYFUNCTION(IF(A1927="","",CONCATENATE("https://us.pandora.net/on/demandware.static/-/Sites-pandora-master-catalog/default/dwbb259ca6/productimages/singlepackshot/",LEFT(A1927,FIND("-",A1927&amp;"-")-1),"_RGB.png"))),"https://us.pandora.net/on/demandware.static/-/Sites-pandora-master-catalog/default/dwbb259ca6/productimages/singlepackshot/293169C01_RGB.png")</f>
        <v>https://us.pandora.net/on/demandware.static/-/Sites-pandora-master-catalog/default/dwbb259ca6/productimages/singlepackshot/293169C01_RGB.png</v>
      </c>
    </row>
    <row r="1928" spans="1:4" x14ac:dyDescent="0.25">
      <c r="A1928" s="3" t="s">
        <v>1930</v>
      </c>
      <c r="B1928" s="4">
        <v>99</v>
      </c>
      <c r="C1928" s="3" t="str">
        <f ca="1">IFERROR(ROWSDUMMYFUNCTION(IF(A1928="","",IFERROR(IMAGE(CONCATENATE("https://us.pandora.net/on/demandware.static/-/Sites-pandora-master-catalog/default/dwbb259ca6/productimages/singlepackshot/",LEFT(A1928,FIND("-",A1928&amp;"-")-1),"_RGB.png")),""))),"{""url"":""https://us.pandora.net/on/demandware.static/-/Sites-pandora-master-catalog/default/dwbb259ca6/productimages/singlepackshot/293171C01_RGB.png"",""mode"":1}")</f>
        <v>{"url":"https://us.pandora.net/on/demandware.static/-/Sites-pandora-master-catalog/default/dwbb259ca6/productimages/singlepackshot/293171C01_RGB.png","mode":1}</v>
      </c>
      <c r="D1928" s="5" t="str">
        <f ca="1">IFERROR(ROWSDUMMYFUNCTION(IF(A1928="","",CONCATENATE("https://us.pandora.net/on/demandware.static/-/Sites-pandora-master-catalog/default/dwbb259ca6/productimages/singlepackshot/",LEFT(A1928,FIND("-",A1928&amp;"-")-1),"_RGB.png"))),"https://us.pandora.net/on/demandware.static/-/Sites-pandora-master-catalog/default/dwbb259ca6/productimages/singlepackshot/293171C01_RGB.png")</f>
        <v>https://us.pandora.net/on/demandware.static/-/Sites-pandora-master-catalog/default/dwbb259ca6/productimages/singlepackshot/293171C01_RGB.png</v>
      </c>
    </row>
    <row r="1929" spans="1:4" x14ac:dyDescent="0.25">
      <c r="A1929" s="3" t="s">
        <v>1931</v>
      </c>
      <c r="B1929" s="4">
        <v>79</v>
      </c>
      <c r="C1929" s="3" t="str">
        <f ca="1">IFERROR(ROWSDUMMYFUNCTION(IF(A1929="","",IFERROR(IMAGE(CONCATENATE("https://us.pandora.net/on/demandware.static/-/Sites-pandora-master-catalog/default/dwbb259ca6/productimages/singlepackshot/",LEFT(A1929,FIND("-",A1929&amp;"-")-1),"_RGB.png")),""))),"{""url"":""https://us.pandora.net/on/demandware.static/-/Sites-pandora-master-catalog/default/dwbb259ca6/productimages/singlepackshot/293178C01_RGB.png"",""mode"":1}")</f>
        <v>{"url":"https://us.pandora.net/on/demandware.static/-/Sites-pandora-master-catalog/default/dwbb259ca6/productimages/singlepackshot/293178C01_RGB.png","mode":1}</v>
      </c>
      <c r="D1929" s="5" t="str">
        <f ca="1">IFERROR(ROWSDUMMYFUNCTION(IF(A1929="","",CONCATENATE("https://us.pandora.net/on/demandware.static/-/Sites-pandora-master-catalog/default/dwbb259ca6/productimages/singlepackshot/",LEFT(A1929,FIND("-",A1929&amp;"-")-1),"_RGB.png"))),"https://us.pandora.net/on/demandware.static/-/Sites-pandora-master-catalog/default/dwbb259ca6/productimages/singlepackshot/293178C01_RGB.png")</f>
        <v>https://us.pandora.net/on/demandware.static/-/Sites-pandora-master-catalog/default/dwbb259ca6/productimages/singlepackshot/293178C01_RGB.png</v>
      </c>
    </row>
    <row r="1930" spans="1:4" x14ac:dyDescent="0.25">
      <c r="A1930" s="3" t="s">
        <v>1932</v>
      </c>
      <c r="B1930" s="4">
        <v>39</v>
      </c>
      <c r="C1930" s="3" t="str">
        <f ca="1">IFERROR(ROWSDUMMYFUNCTION(IF(A1930="","",IFERROR(IMAGE(CONCATENATE("https://us.pandora.net/on/demandware.static/-/Sites-pandora-master-catalog/default/dwbb259ca6/productimages/singlepackshot/",LEFT(A1930,FIND("-",A1930&amp;"-")-1),"_RGB.png")),""))),"{""url"":""https://us.pandora.net/on/demandware.static/-/Sites-pandora-master-catalog/default/dwbb259ca6/productimages/singlepackshot/293209C01_RGB.png"",""mode"":1}")</f>
        <v>{"url":"https://us.pandora.net/on/demandware.static/-/Sites-pandora-master-catalog/default/dwbb259ca6/productimages/singlepackshot/293209C01_RGB.png","mode":1}</v>
      </c>
      <c r="D1930" s="5" t="str">
        <f ca="1">IFERROR(ROWSDUMMYFUNCTION(IF(A1930="","",CONCATENATE("https://us.pandora.net/on/demandware.static/-/Sites-pandora-master-catalog/default/dwbb259ca6/productimages/singlepackshot/",LEFT(A1930,FIND("-",A1930&amp;"-")-1),"_RGB.png"))),"https://us.pandora.net/on/demandware.static/-/Sites-pandora-master-catalog/default/dwbb259ca6/productimages/singlepackshot/293209C01_RGB.png")</f>
        <v>https://us.pandora.net/on/demandware.static/-/Sites-pandora-master-catalog/default/dwbb259ca6/productimages/singlepackshot/293209C01_RGB.png</v>
      </c>
    </row>
    <row r="1931" spans="1:4" x14ac:dyDescent="0.25">
      <c r="A1931" s="3" t="s">
        <v>1933</v>
      </c>
      <c r="B1931" s="4">
        <v>59</v>
      </c>
      <c r="C1931" s="3" t="str">
        <f ca="1">IFERROR(ROWSDUMMYFUNCTION(IF(A1931="","",IFERROR(IMAGE(CONCATENATE("https://us.pandora.net/on/demandware.static/-/Sites-pandora-master-catalog/default/dwbb259ca6/productimages/singlepackshot/",LEFT(A1931,FIND("-",A1931&amp;"-")-1),"_RGB.png")),""))),"{""url"":""https://us.pandora.net/on/demandware.static/-/Sites-pandora-master-catalog/default/dwbb259ca6/productimages/singlepackshot/293219C01_RGB.png"",""mode"":1}")</f>
        <v>{"url":"https://us.pandora.net/on/demandware.static/-/Sites-pandora-master-catalog/default/dwbb259ca6/productimages/singlepackshot/293219C01_RGB.png","mode":1}</v>
      </c>
      <c r="D1931" s="5" t="str">
        <f ca="1">IFERROR(ROWSDUMMYFUNCTION(IF(A1931="","",CONCATENATE("https://us.pandora.net/on/demandware.static/-/Sites-pandora-master-catalog/default/dwbb259ca6/productimages/singlepackshot/",LEFT(A1931,FIND("-",A1931&amp;"-")-1),"_RGB.png"))),"https://us.pandora.net/on/demandware.static/-/Sites-pandora-master-catalog/default/dwbb259ca6/productimages/singlepackshot/293219C01_RGB.png")</f>
        <v>https://us.pandora.net/on/demandware.static/-/Sites-pandora-master-catalog/default/dwbb259ca6/productimages/singlepackshot/293219C01_RGB.png</v>
      </c>
    </row>
    <row r="1932" spans="1:4" x14ac:dyDescent="0.25">
      <c r="A1932" s="3" t="s">
        <v>1934</v>
      </c>
      <c r="B1932" s="4">
        <v>79</v>
      </c>
      <c r="C1932" s="3" t="str">
        <f ca="1">IFERROR(ROWSDUMMYFUNCTION(IF(A1932="","",IFERROR(IMAGE(CONCATENATE("https://us.pandora.net/on/demandware.static/-/Sites-pandora-master-catalog/default/dwbb259ca6/productimages/singlepackshot/",LEFT(A1932,FIND("-",A1932&amp;"-")-1),"_RGB.png")),""))),"{""url"":""https://us.pandora.net/on/demandware.static/-/Sites-pandora-master-catalog/default/dwbb259ca6/productimages/singlepackshot/293276C01_RGB.png"",""mode"":1}")</f>
        <v>{"url":"https://us.pandora.net/on/demandware.static/-/Sites-pandora-master-catalog/default/dwbb259ca6/productimages/singlepackshot/293276C01_RGB.png","mode":1}</v>
      </c>
      <c r="D1932" s="5" t="str">
        <f ca="1">IFERROR(ROWSDUMMYFUNCTION(IF(A1932="","",CONCATENATE("https://us.pandora.net/on/demandware.static/-/Sites-pandora-master-catalog/default/dwbb259ca6/productimages/singlepackshot/",LEFT(A1932,FIND("-",A1932&amp;"-")-1),"_RGB.png"))),"https://us.pandora.net/on/demandware.static/-/Sites-pandora-master-catalog/default/dwbb259ca6/productimages/singlepackshot/293276C01_RGB.png")</f>
        <v>https://us.pandora.net/on/demandware.static/-/Sites-pandora-master-catalog/default/dwbb259ca6/productimages/singlepackshot/293276C01_RGB.png</v>
      </c>
    </row>
    <row r="1933" spans="1:4" x14ac:dyDescent="0.25">
      <c r="A1933" s="3" t="s">
        <v>1935</v>
      </c>
      <c r="B1933" s="4">
        <v>39</v>
      </c>
      <c r="C1933" s="3" t="str">
        <f ca="1">IFERROR(ROWSDUMMYFUNCTION(IF(A1933="","",IFERROR(IMAGE(CONCATENATE("https://us.pandora.net/on/demandware.static/-/Sites-pandora-master-catalog/default/dwbb259ca6/productimages/singlepackshot/",LEFT(A1933,FIND("-",A1933&amp;"-")-1),"_RGB.png")),""))),"{""url"":""https://us.pandora.net/on/demandware.static/-/Sites-pandora-master-catalog/default/dwbb259ca6/productimages/singlepackshot/293286C00_RGB.png"",""mode"":1}")</f>
        <v>{"url":"https://us.pandora.net/on/demandware.static/-/Sites-pandora-master-catalog/default/dwbb259ca6/productimages/singlepackshot/293286C00_RGB.png","mode":1}</v>
      </c>
      <c r="D1933" s="5" t="str">
        <f ca="1">IFERROR(ROWSDUMMYFUNCTION(IF(A1933="","",CONCATENATE("https://us.pandora.net/on/demandware.static/-/Sites-pandora-master-catalog/default/dwbb259ca6/productimages/singlepackshot/",LEFT(A1933,FIND("-",A1933&amp;"-")-1),"_RGB.png"))),"https://us.pandora.net/on/demandware.static/-/Sites-pandora-master-catalog/default/dwbb259ca6/productimages/singlepackshot/293286C00_RGB.png")</f>
        <v>https://us.pandora.net/on/demandware.static/-/Sites-pandora-master-catalog/default/dwbb259ca6/productimages/singlepackshot/293286C00_RGB.png</v>
      </c>
    </row>
    <row r="1934" spans="1:4" x14ac:dyDescent="0.25">
      <c r="A1934" s="3" t="s">
        <v>1936</v>
      </c>
      <c r="B1934" s="4">
        <v>89</v>
      </c>
      <c r="C1934" s="3" t="str">
        <f ca="1">IFERROR(ROWSDUMMYFUNCTION(IF(A1934="","",IFERROR(IMAGE(CONCATENATE("https://us.pandora.net/on/demandware.static/-/Sites-pandora-master-catalog/default/dwbb259ca6/productimages/singlepackshot/",LEFT(A1934,FIND("-",A1934&amp;"-")-1),"_RGB.png")),""))),"{""url"":""https://us.pandora.net/on/demandware.static/-/Sites-pandora-master-catalog/default/dwbb259ca6/productimages/singlepackshot/293290C00_RGB.png"",""mode"":1}")</f>
        <v>{"url":"https://us.pandora.net/on/demandware.static/-/Sites-pandora-master-catalog/default/dwbb259ca6/productimages/singlepackshot/293290C00_RGB.png","mode":1}</v>
      </c>
      <c r="D1934" s="5" t="str">
        <f ca="1">IFERROR(ROWSDUMMYFUNCTION(IF(A1934="","",CONCATENATE("https://us.pandora.net/on/demandware.static/-/Sites-pandora-master-catalog/default/dwbb259ca6/productimages/singlepackshot/",LEFT(A1934,FIND("-",A1934&amp;"-")-1),"_RGB.png"))),"https://us.pandora.net/on/demandware.static/-/Sites-pandora-master-catalog/default/dwbb259ca6/productimages/singlepackshot/293290C00_RGB.png")</f>
        <v>https://us.pandora.net/on/demandware.static/-/Sites-pandora-master-catalog/default/dwbb259ca6/productimages/singlepackshot/293290C00_RGB.png</v>
      </c>
    </row>
    <row r="1935" spans="1:4" x14ac:dyDescent="0.25">
      <c r="A1935" s="3" t="s">
        <v>1937</v>
      </c>
      <c r="B1935" s="4">
        <v>119</v>
      </c>
      <c r="C1935" s="3" t="str">
        <f ca="1">IFERROR(ROWSDUMMYFUNCTION(IF(A1935="","",IFERROR(IMAGE(CONCATENATE("https://us.pandora.net/on/demandware.static/-/Sites-pandora-master-catalog/default/dwbb259ca6/productimages/singlepackshot/",LEFT(A1935,FIND("-",A1935&amp;"-")-1),"_RGB.png")),""))),"{""url"":""https://us.pandora.net/on/demandware.static/-/Sites-pandora-master-catalog/default/dwbb259ca6/productimages/singlepackshot/293299C00_RGB.png"",""mode"":1}")</f>
        <v>{"url":"https://us.pandora.net/on/demandware.static/-/Sites-pandora-master-catalog/default/dwbb259ca6/productimages/singlepackshot/293299C00_RGB.png","mode":1}</v>
      </c>
      <c r="D1935" s="5" t="str">
        <f ca="1">IFERROR(ROWSDUMMYFUNCTION(IF(A1935="","",CONCATENATE("https://us.pandora.net/on/demandware.static/-/Sites-pandora-master-catalog/default/dwbb259ca6/productimages/singlepackshot/",LEFT(A1935,FIND("-",A1935&amp;"-")-1),"_RGB.png"))),"https://us.pandora.net/on/demandware.static/-/Sites-pandora-master-catalog/default/dwbb259ca6/productimages/singlepackshot/293299C00_RGB.png")</f>
        <v>https://us.pandora.net/on/demandware.static/-/Sites-pandora-master-catalog/default/dwbb259ca6/productimages/singlepackshot/293299C00_RGB.png</v>
      </c>
    </row>
    <row r="1936" spans="1:4" x14ac:dyDescent="0.25">
      <c r="A1936" s="3" t="s">
        <v>1938</v>
      </c>
      <c r="B1936" s="4">
        <v>69</v>
      </c>
      <c r="C1936" s="3" t="str">
        <f ca="1">IFERROR(ROWSDUMMYFUNCTION(IF(A1936="","",IFERROR(IMAGE(CONCATENATE("https://us.pandora.net/on/demandware.static/-/Sites-pandora-master-catalog/default/dwbb259ca6/productimages/singlepackshot/",LEFT(A1936,FIND("-",A1936&amp;"-")-1),"_RGB.png")),""))),"{""url"":""https://us.pandora.net/on/demandware.static/-/Sites-pandora-master-catalog/default/dwbb259ca6/productimages/singlepackshot/293320C00_RGB.png"",""mode"":1}")</f>
        <v>{"url":"https://us.pandora.net/on/demandware.static/-/Sites-pandora-master-catalog/default/dwbb259ca6/productimages/singlepackshot/293320C00_RGB.png","mode":1}</v>
      </c>
      <c r="D1936" s="5" t="str">
        <f ca="1">IFERROR(ROWSDUMMYFUNCTION(IF(A1936="","",CONCATENATE("https://us.pandora.net/on/demandware.static/-/Sites-pandora-master-catalog/default/dwbb259ca6/productimages/singlepackshot/",LEFT(A1936,FIND("-",A1936&amp;"-")-1),"_RGB.png"))),"https://us.pandora.net/on/demandware.static/-/Sites-pandora-master-catalog/default/dwbb259ca6/productimages/singlepackshot/293320C00_RGB.png")</f>
        <v>https://us.pandora.net/on/demandware.static/-/Sites-pandora-master-catalog/default/dwbb259ca6/productimages/singlepackshot/293320C00_RGB.png</v>
      </c>
    </row>
    <row r="1937" spans="1:4" x14ac:dyDescent="0.25">
      <c r="A1937" s="3" t="s">
        <v>1939</v>
      </c>
      <c r="B1937" s="4">
        <v>59</v>
      </c>
      <c r="C1937" s="3" t="str">
        <f ca="1">IFERROR(ROWSDUMMYFUNCTION(IF(A1937="","",IFERROR(IMAGE(CONCATENATE("https://us.pandora.net/on/demandware.static/-/Sites-pandora-master-catalog/default/dwbb259ca6/productimages/singlepackshot/",LEFT(A1937,FIND("-",A1937&amp;"-")-1),"_RGB.png")),""))),"{""url"":""https://us.pandora.net/on/demandware.static/-/Sites-pandora-master-catalog/default/dwbb259ca6/productimages/singlepackshot/293336C00_RGB.png"",""mode"":1}")</f>
        <v>{"url":"https://us.pandora.net/on/demandware.static/-/Sites-pandora-master-catalog/default/dwbb259ca6/productimages/singlepackshot/293336C00_RGB.png","mode":1}</v>
      </c>
      <c r="D1937" s="5" t="str">
        <f ca="1">IFERROR(ROWSDUMMYFUNCTION(IF(A1937="","",CONCATENATE("https://us.pandora.net/on/demandware.static/-/Sites-pandora-master-catalog/default/dwbb259ca6/productimages/singlepackshot/",LEFT(A1937,FIND("-",A1937&amp;"-")-1),"_RGB.png"))),"https://us.pandora.net/on/demandware.static/-/Sites-pandora-master-catalog/default/dwbb259ca6/productimages/singlepackshot/293336C00_RGB.png")</f>
        <v>https://us.pandora.net/on/demandware.static/-/Sites-pandora-master-catalog/default/dwbb259ca6/productimages/singlepackshot/293336C00_RGB.png</v>
      </c>
    </row>
    <row r="1938" spans="1:4" x14ac:dyDescent="0.25">
      <c r="A1938" s="3" t="s">
        <v>1940</v>
      </c>
      <c r="B1938" s="4">
        <v>39</v>
      </c>
      <c r="C1938" s="3" t="str">
        <f ca="1">IFERROR(ROWSDUMMYFUNCTION(IF(A1938="","",IFERROR(IMAGE(CONCATENATE("https://us.pandora.net/on/demandware.static/-/Sites-pandora-master-catalog/default/dwbb259ca6/productimages/singlepackshot/",LEFT(A1938,FIND("-",A1938&amp;"-")-1),"_RGB.png")),""))),"{""url"":""https://us.pandora.net/on/demandware.static/-/Sites-pandora-master-catalog/default/dwbb259ca6/productimages/singlepackshot/293355C00_RGB.png"",""mode"":1}")</f>
        <v>{"url":"https://us.pandora.net/on/demandware.static/-/Sites-pandora-master-catalog/default/dwbb259ca6/productimages/singlepackshot/293355C00_RGB.png","mode":1}</v>
      </c>
      <c r="D1938" s="5" t="str">
        <f ca="1">IFERROR(ROWSDUMMYFUNCTION(IF(A1938="","",CONCATENATE("https://us.pandora.net/on/demandware.static/-/Sites-pandora-master-catalog/default/dwbb259ca6/productimages/singlepackshot/",LEFT(A1938,FIND("-",A1938&amp;"-")-1),"_RGB.png"))),"https://us.pandora.net/on/demandware.static/-/Sites-pandora-master-catalog/default/dwbb259ca6/productimages/singlepackshot/293355C00_RGB.png")</f>
        <v>https://us.pandora.net/on/demandware.static/-/Sites-pandora-master-catalog/default/dwbb259ca6/productimages/singlepackshot/293355C00_RGB.png</v>
      </c>
    </row>
    <row r="1939" spans="1:4" x14ac:dyDescent="0.25">
      <c r="A1939" s="3" t="s">
        <v>1941</v>
      </c>
      <c r="B1939" s="4">
        <v>49</v>
      </c>
      <c r="C1939" s="3" t="str">
        <f ca="1">IFERROR(ROWSDUMMYFUNCTION(IF(A1939="","",IFERROR(IMAGE(CONCATENATE("https://us.pandora.net/on/demandware.static/-/Sites-pandora-master-catalog/default/dwbb259ca6/productimages/singlepackshot/",LEFT(A1939,FIND("-",A1939&amp;"-")-1),"_RGB.png")),""))),"{""url"":""https://us.pandora.net/on/demandware.static/-/Sites-pandora-master-catalog/default/dwbb259ca6/productimages/singlepackshot/293505C01_RGB.png"",""mode"":1}")</f>
        <v>{"url":"https://us.pandora.net/on/demandware.static/-/Sites-pandora-master-catalog/default/dwbb259ca6/productimages/singlepackshot/293505C01_RGB.png","mode":1}</v>
      </c>
      <c r="D1939" s="5" t="str">
        <f ca="1">IFERROR(ROWSDUMMYFUNCTION(IF(A1939="","",CONCATENATE("https://us.pandora.net/on/demandware.static/-/Sites-pandora-master-catalog/default/dwbb259ca6/productimages/singlepackshot/",LEFT(A1939,FIND("-",A1939&amp;"-")-1),"_RGB.png"))),"https://us.pandora.net/on/demandware.static/-/Sites-pandora-master-catalog/default/dwbb259ca6/productimages/singlepackshot/293505C01_RGB.png")</f>
        <v>https://us.pandora.net/on/demandware.static/-/Sites-pandora-master-catalog/default/dwbb259ca6/productimages/singlepackshot/293505C01_RGB.png</v>
      </c>
    </row>
    <row r="1940" spans="1:4" x14ac:dyDescent="0.25">
      <c r="A1940" s="3" t="s">
        <v>1942</v>
      </c>
      <c r="B1940" s="4">
        <v>59</v>
      </c>
      <c r="C1940" s="3" t="str">
        <f ca="1">IFERROR(ROWSDUMMYFUNCTION(IF(A1940="","",IFERROR(IMAGE(CONCATENATE("https://us.pandora.net/on/demandware.static/-/Sites-pandora-master-catalog/default/dwbb259ca6/productimages/singlepackshot/",LEFT(A1940,FIND("-",A1940&amp;"-")-1),"_RGB.png")),""))),"{""url"":""https://us.pandora.net/on/demandware.static/-/Sites-pandora-master-catalog/default/dwbb259ca6/productimages/singlepackshot/293506C01_RGB.png"",""mode"":1}")</f>
        <v>{"url":"https://us.pandora.net/on/demandware.static/-/Sites-pandora-master-catalog/default/dwbb259ca6/productimages/singlepackshot/293506C01_RGB.png","mode":1}</v>
      </c>
      <c r="D1940" s="5" t="str">
        <f ca="1">IFERROR(ROWSDUMMYFUNCTION(IF(A1940="","",CONCATENATE("https://us.pandora.net/on/demandware.static/-/Sites-pandora-master-catalog/default/dwbb259ca6/productimages/singlepackshot/",LEFT(A1940,FIND("-",A1940&amp;"-")-1),"_RGB.png"))),"https://us.pandora.net/on/demandware.static/-/Sites-pandora-master-catalog/default/dwbb259ca6/productimages/singlepackshot/293506C01_RGB.png")</f>
        <v>https://us.pandora.net/on/demandware.static/-/Sites-pandora-master-catalog/default/dwbb259ca6/productimages/singlepackshot/293506C01_RGB.png</v>
      </c>
    </row>
    <row r="1941" spans="1:4" x14ac:dyDescent="0.25">
      <c r="A1941" s="3" t="s">
        <v>1943</v>
      </c>
      <c r="B1941" s="4">
        <v>59</v>
      </c>
      <c r="C1941" s="3" t="str">
        <f ca="1">IFERROR(ROWSDUMMYFUNCTION(IF(A1941="","",IFERROR(IMAGE(CONCATENATE("https://us.pandora.net/on/demandware.static/-/Sites-pandora-master-catalog/default/dwbb259ca6/productimages/singlepackshot/",LEFT(A1941,FIND("-",A1941&amp;"-")-1),"_RGB.png")),""))),"{""url"":""https://us.pandora.net/on/demandware.static/-/Sites-pandora-master-catalog/default/dwbb259ca6/productimages/singlepackshot/293528C00_RGB.png"",""mode"":1}")</f>
        <v>{"url":"https://us.pandora.net/on/demandware.static/-/Sites-pandora-master-catalog/default/dwbb259ca6/productimages/singlepackshot/293528C00_RGB.png","mode":1}</v>
      </c>
      <c r="D1941" s="5" t="str">
        <f ca="1">IFERROR(ROWSDUMMYFUNCTION(IF(A1941="","",CONCATENATE("https://us.pandora.net/on/demandware.static/-/Sites-pandora-master-catalog/default/dwbb259ca6/productimages/singlepackshot/",LEFT(A1941,FIND("-",A1941&amp;"-")-1),"_RGB.png"))),"https://us.pandora.net/on/demandware.static/-/Sites-pandora-master-catalog/default/dwbb259ca6/productimages/singlepackshot/293528C00_RGB.png")</f>
        <v>https://us.pandora.net/on/demandware.static/-/Sites-pandora-master-catalog/default/dwbb259ca6/productimages/singlepackshot/293528C00_RGB.png</v>
      </c>
    </row>
    <row r="1942" spans="1:4" x14ac:dyDescent="0.25">
      <c r="A1942" s="3" t="s">
        <v>1944</v>
      </c>
      <c r="B1942" s="4">
        <v>49</v>
      </c>
      <c r="C1942" s="3" t="str">
        <f ca="1">IFERROR(ROWSDUMMYFUNCTION(IF(A1942="","",IFERROR(IMAGE(CONCATENATE("https://us.pandora.net/on/demandware.static/-/Sites-pandora-master-catalog/default/dwbb259ca6/productimages/singlepackshot/",LEFT(A1942,FIND("-",A1942&amp;"-")-1),"_RGB.png")),""))),"{""url"":""https://us.pandora.net/on/demandware.static/-/Sites-pandora-master-catalog/default/dwbb259ca6/productimages/singlepackshot/293542C01_RGB.png"",""mode"":1}")</f>
        <v>{"url":"https://us.pandora.net/on/demandware.static/-/Sites-pandora-master-catalog/default/dwbb259ca6/productimages/singlepackshot/293542C01_RGB.png","mode":1}</v>
      </c>
      <c r="D1942" s="5" t="str">
        <f ca="1">IFERROR(ROWSDUMMYFUNCTION(IF(A1942="","",CONCATENATE("https://us.pandora.net/on/demandware.static/-/Sites-pandora-master-catalog/default/dwbb259ca6/productimages/singlepackshot/",LEFT(A1942,FIND("-",A1942&amp;"-")-1),"_RGB.png"))),"https://us.pandora.net/on/demandware.static/-/Sites-pandora-master-catalog/default/dwbb259ca6/productimages/singlepackshot/293542C01_RGB.png")</f>
        <v>https://us.pandora.net/on/demandware.static/-/Sites-pandora-master-catalog/default/dwbb259ca6/productimages/singlepackshot/293542C01_RGB.png</v>
      </c>
    </row>
    <row r="1943" spans="1:4" x14ac:dyDescent="0.25">
      <c r="A1943" s="3" t="s">
        <v>1945</v>
      </c>
      <c r="B1943" s="4">
        <v>69</v>
      </c>
      <c r="C1943" s="3" t="str">
        <f ca="1">IFERROR(ROWSDUMMYFUNCTION(IF(A1943="","",IFERROR(IMAGE(CONCATENATE("https://us.pandora.net/on/demandware.static/-/Sites-pandora-master-catalog/default/dwbb259ca6/productimages/singlepackshot/",LEFT(A1943,FIND("-",A1943&amp;"-")-1),"_RGB.png")),""))),"{""url"":""https://us.pandora.net/on/demandware.static/-/Sites-pandora-master-catalog/default/dwbb259ca6/productimages/singlepackshot/293543C01_RGB.png"",""mode"":1}")</f>
        <v>{"url":"https://us.pandora.net/on/demandware.static/-/Sites-pandora-master-catalog/default/dwbb259ca6/productimages/singlepackshot/293543C01_RGB.png","mode":1}</v>
      </c>
      <c r="D1943" s="5" t="str">
        <f ca="1">IFERROR(ROWSDUMMYFUNCTION(IF(A1943="","",CONCATENATE("https://us.pandora.net/on/demandware.static/-/Sites-pandora-master-catalog/default/dwbb259ca6/productimages/singlepackshot/",LEFT(A1943,FIND("-",A1943&amp;"-")-1),"_RGB.png"))),"https://us.pandora.net/on/demandware.static/-/Sites-pandora-master-catalog/default/dwbb259ca6/productimages/singlepackshot/293543C01_RGB.png")</f>
        <v>https://us.pandora.net/on/demandware.static/-/Sites-pandora-master-catalog/default/dwbb259ca6/productimages/singlepackshot/293543C01_RGB.png</v>
      </c>
    </row>
    <row r="1944" spans="1:4" x14ac:dyDescent="0.25">
      <c r="A1944" s="3" t="s">
        <v>1946</v>
      </c>
      <c r="B1944" s="4">
        <v>149</v>
      </c>
      <c r="C1944" s="3" t="str">
        <f ca="1">IFERROR(ROWSDUMMYFUNCTION(IF(A1944="","",IFERROR(IMAGE(CONCATENATE("https://us.pandora.net/on/demandware.static/-/Sites-pandora-master-catalog/default/dwbb259ca6/productimages/singlepackshot/",LEFT(A1944,FIND("-",A1944&amp;"-")-1),"_RGB.png")),""))),"{""url"":""https://us.pandora.net/on/demandware.static/-/Sites-pandora-master-catalog/default/dwbb259ca6/productimages/singlepackshot/293544C01_RGB.png"",""mode"":1}")</f>
        <v>{"url":"https://us.pandora.net/on/demandware.static/-/Sites-pandora-master-catalog/default/dwbb259ca6/productimages/singlepackshot/293544C01_RGB.png","mode":1}</v>
      </c>
      <c r="D1944" s="5" t="str">
        <f ca="1">IFERROR(ROWSDUMMYFUNCTION(IF(A1944="","",CONCATENATE("https://us.pandora.net/on/demandware.static/-/Sites-pandora-master-catalog/default/dwbb259ca6/productimages/singlepackshot/",LEFT(A1944,FIND("-",A1944&amp;"-")-1),"_RGB.png"))),"https://us.pandora.net/on/demandware.static/-/Sites-pandora-master-catalog/default/dwbb259ca6/productimages/singlepackshot/293544C01_RGB.png")</f>
        <v>https://us.pandora.net/on/demandware.static/-/Sites-pandora-master-catalog/default/dwbb259ca6/productimages/singlepackshot/293544C01_RGB.png</v>
      </c>
    </row>
    <row r="1945" spans="1:4" x14ac:dyDescent="0.25">
      <c r="A1945" s="3" t="s">
        <v>1947</v>
      </c>
      <c r="B1945" s="4">
        <v>129</v>
      </c>
      <c r="C1945" s="3" t="str">
        <f ca="1">IFERROR(ROWSDUMMYFUNCTION(IF(A1945="","",IFERROR(IMAGE(CONCATENATE("https://us.pandora.net/on/demandware.static/-/Sites-pandora-master-catalog/default/dwbb259ca6/productimages/singlepackshot/",LEFT(A1945,FIND("-",A1945&amp;"-")-1),"_RGB.png")),""))),"{""url"":""https://us.pandora.net/on/demandware.static/-/Sites-pandora-master-catalog/default/dwbb259ca6/productimages/singlepackshot/293545C01_RGB.png"",""mode"":1}")</f>
        <v>{"url":"https://us.pandora.net/on/demandware.static/-/Sites-pandora-master-catalog/default/dwbb259ca6/productimages/singlepackshot/293545C01_RGB.png","mode":1}</v>
      </c>
      <c r="D1945" s="5" t="str">
        <f ca="1">IFERROR(ROWSDUMMYFUNCTION(IF(A1945="","",CONCATENATE("https://us.pandora.net/on/demandware.static/-/Sites-pandora-master-catalog/default/dwbb259ca6/productimages/singlepackshot/",LEFT(A1945,FIND("-",A1945&amp;"-")-1),"_RGB.png"))),"https://us.pandora.net/on/demandware.static/-/Sites-pandora-master-catalog/default/dwbb259ca6/productimages/singlepackshot/293545C01_RGB.png")</f>
        <v>https://us.pandora.net/on/demandware.static/-/Sites-pandora-master-catalog/default/dwbb259ca6/productimages/singlepackshot/293545C01_RGB.png</v>
      </c>
    </row>
    <row r="1946" spans="1:4" x14ac:dyDescent="0.25">
      <c r="A1946" s="3" t="s">
        <v>1948</v>
      </c>
      <c r="B1946" s="4">
        <v>89</v>
      </c>
      <c r="C1946" s="3" t="str">
        <f ca="1">IFERROR(ROWSDUMMYFUNCTION(IF(A1946="","",IFERROR(IMAGE(CONCATENATE("https://us.pandora.net/on/demandware.static/-/Sites-pandora-master-catalog/default/dwbb259ca6/productimages/singlepackshot/",LEFT(A1946,FIND("-",A1946&amp;"-")-1),"_RGB.png")),""))),"{""url"":""https://us.pandora.net/on/demandware.static/-/Sites-pandora-master-catalog/default/dwbb259ca6/productimages/singlepackshot/293547C01_RGB.png"",""mode"":1}")</f>
        <v>{"url":"https://us.pandora.net/on/demandware.static/-/Sites-pandora-master-catalog/default/dwbb259ca6/productimages/singlepackshot/293547C01_RGB.png","mode":1}</v>
      </c>
      <c r="D1946" s="5" t="str">
        <f ca="1">IFERROR(ROWSDUMMYFUNCTION(IF(A1946="","",CONCATENATE("https://us.pandora.net/on/demandware.static/-/Sites-pandora-master-catalog/default/dwbb259ca6/productimages/singlepackshot/",LEFT(A1946,FIND("-",A1946&amp;"-")-1),"_RGB.png"))),"https://us.pandora.net/on/demandware.static/-/Sites-pandora-master-catalog/default/dwbb259ca6/productimages/singlepackshot/293547C01_RGB.png")</f>
        <v>https://us.pandora.net/on/demandware.static/-/Sites-pandora-master-catalog/default/dwbb259ca6/productimages/singlepackshot/293547C01_RGB.png</v>
      </c>
    </row>
    <row r="1947" spans="1:4" x14ac:dyDescent="0.25">
      <c r="A1947" s="3" t="s">
        <v>1949</v>
      </c>
      <c r="B1947" s="4">
        <v>79</v>
      </c>
      <c r="C1947" s="3" t="str">
        <f ca="1">IFERROR(ROWSDUMMYFUNCTION(IF(A1947="","",IFERROR(IMAGE(CONCATENATE("https://us.pandora.net/on/demandware.static/-/Sites-pandora-master-catalog/default/dwbb259ca6/productimages/singlepackshot/",LEFT(A1947,FIND("-",A1947&amp;"-")-1),"_RGB.png")),""))),"{""url"":""https://us.pandora.net/on/demandware.static/-/Sites-pandora-master-catalog/default/dwbb259ca6/productimages/singlepackshot/293551C01_RGB.png"",""mode"":1}")</f>
        <v>{"url":"https://us.pandora.net/on/demandware.static/-/Sites-pandora-master-catalog/default/dwbb259ca6/productimages/singlepackshot/293551C01_RGB.png","mode":1}</v>
      </c>
      <c r="D1947" s="5" t="str">
        <f ca="1">IFERROR(ROWSDUMMYFUNCTION(IF(A1947="","",CONCATENATE("https://us.pandora.net/on/demandware.static/-/Sites-pandora-master-catalog/default/dwbb259ca6/productimages/singlepackshot/",LEFT(A1947,FIND("-",A1947&amp;"-")-1),"_RGB.png"))),"https://us.pandora.net/on/demandware.static/-/Sites-pandora-master-catalog/default/dwbb259ca6/productimages/singlepackshot/293551C01_RGB.png")</f>
        <v>https://us.pandora.net/on/demandware.static/-/Sites-pandora-master-catalog/default/dwbb259ca6/productimages/singlepackshot/293551C01_RGB.png</v>
      </c>
    </row>
    <row r="1948" spans="1:4" x14ac:dyDescent="0.25">
      <c r="A1948" s="3" t="s">
        <v>1950</v>
      </c>
      <c r="B1948" s="4">
        <v>79</v>
      </c>
      <c r="C1948" s="3" t="str">
        <f ca="1">IFERROR(ROWSDUMMYFUNCTION(IF(A1948="","",IFERROR(IMAGE(CONCATENATE("https://us.pandora.net/on/demandware.static/-/Sites-pandora-master-catalog/default/dwbb259ca6/productimages/singlepackshot/",LEFT(A1948,FIND("-",A1948&amp;"-")-1),"_RGB.png")),""))),"{""url"":""https://us.pandora.net/on/demandware.static/-/Sites-pandora-master-catalog/default/dwbb259ca6/productimages/singlepackshot/293551C02_RGB.png"",""mode"":1}")</f>
        <v>{"url":"https://us.pandora.net/on/demandware.static/-/Sites-pandora-master-catalog/default/dwbb259ca6/productimages/singlepackshot/293551C02_RGB.png","mode":1}</v>
      </c>
      <c r="D1948" s="5" t="str">
        <f ca="1">IFERROR(ROWSDUMMYFUNCTION(IF(A1948="","",CONCATENATE("https://us.pandora.net/on/demandware.static/-/Sites-pandora-master-catalog/default/dwbb259ca6/productimages/singlepackshot/",LEFT(A1948,FIND("-",A1948&amp;"-")-1),"_RGB.png"))),"https://us.pandora.net/on/demandware.static/-/Sites-pandora-master-catalog/default/dwbb259ca6/productimages/singlepackshot/293551C02_RGB.png")</f>
        <v>https://us.pandora.net/on/demandware.static/-/Sites-pandora-master-catalog/default/dwbb259ca6/productimages/singlepackshot/293551C02_RGB.png</v>
      </c>
    </row>
    <row r="1949" spans="1:4" x14ac:dyDescent="0.25">
      <c r="A1949" s="3" t="s">
        <v>1951</v>
      </c>
      <c r="B1949" s="4">
        <v>39</v>
      </c>
      <c r="C1949" s="3" t="str">
        <f ca="1">IFERROR(ROWSDUMMYFUNCTION(IF(A1949="","",IFERROR(IMAGE(CONCATENATE("https://us.pandora.net/on/demandware.static/-/Sites-pandora-master-catalog/default/dwbb259ca6/productimages/singlepackshot/",LEFT(A1949,FIND("-",A1949&amp;"-")-1),"_RGB.png")),""))),"{""url"":""https://us.pandora.net/on/demandware.static/-/Sites-pandora-master-catalog/default/dwbb259ca6/productimages/singlepackshot/293587C01_RGB.png"",""mode"":1}")</f>
        <v>{"url":"https://us.pandora.net/on/demandware.static/-/Sites-pandora-master-catalog/default/dwbb259ca6/productimages/singlepackshot/293587C01_RGB.png","mode":1}</v>
      </c>
      <c r="D1949" s="5" t="str">
        <f ca="1">IFERROR(ROWSDUMMYFUNCTION(IF(A1949="","",CONCATENATE("https://us.pandora.net/on/demandware.static/-/Sites-pandora-master-catalog/default/dwbb259ca6/productimages/singlepackshot/",LEFT(A1949,FIND("-",A1949&amp;"-")-1),"_RGB.png"))),"https://us.pandora.net/on/demandware.static/-/Sites-pandora-master-catalog/default/dwbb259ca6/productimages/singlepackshot/293587C01_RGB.png")</f>
        <v>https://us.pandora.net/on/demandware.static/-/Sites-pandora-master-catalog/default/dwbb259ca6/productimages/singlepackshot/293587C01_RGB.png</v>
      </c>
    </row>
    <row r="1950" spans="1:4" x14ac:dyDescent="0.25">
      <c r="A1950" s="3" t="s">
        <v>1952</v>
      </c>
      <c r="B1950" s="4">
        <v>69</v>
      </c>
      <c r="C1950" s="3" t="str">
        <f ca="1">IFERROR(ROWSDUMMYFUNCTION(IF(A1950="","",IFERROR(IMAGE(CONCATENATE("https://us.pandora.net/on/demandware.static/-/Sites-pandora-master-catalog/default/dwbb259ca6/productimages/singlepackshot/",LEFT(A1950,FIND("-",A1950&amp;"-")-1),"_RGB.png")),""))),"{""url"":""https://us.pandora.net/on/demandware.static/-/Sites-pandora-master-catalog/default/dwbb259ca6/productimages/singlepackshot/293633C01_RGB.png"",""mode"":1}")</f>
        <v>{"url":"https://us.pandora.net/on/demandware.static/-/Sites-pandora-master-catalog/default/dwbb259ca6/productimages/singlepackshot/293633C01_RGB.png","mode":1}</v>
      </c>
      <c r="D1950" s="5" t="str">
        <f ca="1">IFERROR(ROWSDUMMYFUNCTION(IF(A1950="","",CONCATENATE("https://us.pandora.net/on/demandware.static/-/Sites-pandora-master-catalog/default/dwbb259ca6/productimages/singlepackshot/",LEFT(A1950,FIND("-",A1950&amp;"-")-1),"_RGB.png"))),"https://us.pandora.net/on/demandware.static/-/Sites-pandora-master-catalog/default/dwbb259ca6/productimages/singlepackshot/293633C01_RGB.png")</f>
        <v>https://us.pandora.net/on/demandware.static/-/Sites-pandora-master-catalog/default/dwbb259ca6/productimages/singlepackshot/293633C01_RGB.png</v>
      </c>
    </row>
    <row r="1951" spans="1:4" x14ac:dyDescent="0.25">
      <c r="A1951" s="3" t="s">
        <v>1953</v>
      </c>
      <c r="B1951" s="4">
        <v>99</v>
      </c>
      <c r="C1951" s="3" t="str">
        <f ca="1">IFERROR(ROWSDUMMYFUNCTION(IF(A1951="","",IFERROR(IMAGE(CONCATENATE("https://us.pandora.net/on/demandware.static/-/Sites-pandora-master-catalog/default/dwbb259ca6/productimages/singlepackshot/",LEFT(A1951,FIND("-",A1951&amp;"-")-1),"_RGB.png")),""))),"{""url"":""https://us.pandora.net/on/demandware.static/-/Sites-pandora-master-catalog/default/dwbb259ca6/productimages/singlepackshot/293657C01_RGB.png"",""mode"":1}")</f>
        <v>{"url":"https://us.pandora.net/on/demandware.static/-/Sites-pandora-master-catalog/default/dwbb259ca6/productimages/singlepackshot/293657C01_RGB.png","mode":1}</v>
      </c>
      <c r="D1951" s="5" t="str">
        <f ca="1">IFERROR(ROWSDUMMYFUNCTION(IF(A1951="","",CONCATENATE("https://us.pandora.net/on/demandware.static/-/Sites-pandora-master-catalog/default/dwbb259ca6/productimages/singlepackshot/",LEFT(A1951,FIND("-",A1951&amp;"-")-1),"_RGB.png"))),"https://us.pandora.net/on/demandware.static/-/Sites-pandora-master-catalog/default/dwbb259ca6/productimages/singlepackshot/293657C01_RGB.png")</f>
        <v>https://us.pandora.net/on/demandware.static/-/Sites-pandora-master-catalog/default/dwbb259ca6/productimages/singlepackshot/293657C01_RGB.png</v>
      </c>
    </row>
    <row r="1952" spans="1:4" x14ac:dyDescent="0.25">
      <c r="A1952" s="3" t="s">
        <v>1954</v>
      </c>
      <c r="B1952" s="4">
        <v>49</v>
      </c>
      <c r="C1952" s="3" t="str">
        <f ca="1">IFERROR(ROWSDUMMYFUNCTION(IF(A1952="","",IFERROR(IMAGE(CONCATENATE("https://us.pandora.net/on/demandware.static/-/Sites-pandora-master-catalog/default/dwbb259ca6/productimages/singlepackshot/",LEFT(A1952,FIND("-",A1952&amp;"-")-1),"_RGB.png")),""))),"{""url"":""https://us.pandora.net/on/demandware.static/-/Sites-pandora-master-catalog/default/dwbb259ca6/productimages/singlepackshot/293668C01_RGB.png"",""mode"":1}")</f>
        <v>{"url":"https://us.pandora.net/on/demandware.static/-/Sites-pandora-master-catalog/default/dwbb259ca6/productimages/singlepackshot/293668C01_RGB.png","mode":1}</v>
      </c>
      <c r="D1952" s="5" t="str">
        <f ca="1">IFERROR(ROWSDUMMYFUNCTION(IF(A1952="","",CONCATENATE("https://us.pandora.net/on/demandware.static/-/Sites-pandora-master-catalog/default/dwbb259ca6/productimages/singlepackshot/",LEFT(A1952,FIND("-",A1952&amp;"-")-1),"_RGB.png"))),"https://us.pandora.net/on/demandware.static/-/Sites-pandora-master-catalog/default/dwbb259ca6/productimages/singlepackshot/293668C01_RGB.png")</f>
        <v>https://us.pandora.net/on/demandware.static/-/Sites-pandora-master-catalog/default/dwbb259ca6/productimages/singlepackshot/293668C01_RGB.png</v>
      </c>
    </row>
    <row r="1953" spans="1:4" x14ac:dyDescent="0.25">
      <c r="A1953" s="3" t="s">
        <v>1955</v>
      </c>
      <c r="B1953" s="4">
        <v>69</v>
      </c>
      <c r="C1953" s="3" t="str">
        <f ca="1">IFERROR(ROWSDUMMYFUNCTION(IF(A1953="","",IFERROR(IMAGE(CONCATENATE("https://us.pandora.net/on/demandware.static/-/Sites-pandora-master-catalog/default/dwbb259ca6/productimages/singlepackshot/",LEFT(A1953,FIND("-",A1953&amp;"-")-1),"_RGB.png")),""))),"{""url"":""https://us.pandora.net/on/demandware.static/-/Sites-pandora-master-catalog/default/dwbb259ca6/productimages/singlepackshot/293741C01_RGB.png"",""mode"":1}")</f>
        <v>{"url":"https://us.pandora.net/on/demandware.static/-/Sites-pandora-master-catalog/default/dwbb259ca6/productimages/singlepackshot/293741C01_RGB.png","mode":1}</v>
      </c>
      <c r="D1953" s="5" t="str">
        <f ca="1">IFERROR(ROWSDUMMYFUNCTION(IF(A1953="","",CONCATENATE("https://us.pandora.net/on/demandware.static/-/Sites-pandora-master-catalog/default/dwbb259ca6/productimages/singlepackshot/",LEFT(A1953,FIND("-",A1953&amp;"-")-1),"_RGB.png"))),"https://us.pandora.net/on/demandware.static/-/Sites-pandora-master-catalog/default/dwbb259ca6/productimages/singlepackshot/293741C01_RGB.png")</f>
        <v>https://us.pandora.net/on/demandware.static/-/Sites-pandora-master-catalog/default/dwbb259ca6/productimages/singlepackshot/293741C01_RGB.png</v>
      </c>
    </row>
    <row r="1954" spans="1:4" x14ac:dyDescent="0.25">
      <c r="A1954" s="3" t="s">
        <v>1956</v>
      </c>
      <c r="B1954" s="4">
        <v>39</v>
      </c>
      <c r="C1954" s="3" t="str">
        <f ca="1">IFERROR(ROWSDUMMYFUNCTION(IF(A1954="","",IFERROR(IMAGE(CONCATENATE("https://us.pandora.net/on/demandware.static/-/Sites-pandora-master-catalog/default/dwbb259ca6/productimages/singlepackshot/",LEFT(A1954,FIND("-",A1954&amp;"-")-1),"_RGB.png")),""))),"{""url"":""https://us.pandora.net/on/demandware.static/-/Sites-pandora-master-catalog/default/dwbb259ca6/productimages/singlepackshot/293761C01_RGB.png"",""mode"":1}")</f>
        <v>{"url":"https://us.pandora.net/on/demandware.static/-/Sites-pandora-master-catalog/default/dwbb259ca6/productimages/singlepackshot/293761C01_RGB.png","mode":1}</v>
      </c>
      <c r="D1954" s="5" t="str">
        <f ca="1">IFERROR(ROWSDUMMYFUNCTION(IF(A1954="","",CONCATENATE("https://us.pandora.net/on/demandware.static/-/Sites-pandora-master-catalog/default/dwbb259ca6/productimages/singlepackshot/",LEFT(A1954,FIND("-",A1954&amp;"-")-1),"_RGB.png"))),"https://us.pandora.net/on/demandware.static/-/Sites-pandora-master-catalog/default/dwbb259ca6/productimages/singlepackshot/293761C01_RGB.png")</f>
        <v>https://us.pandora.net/on/demandware.static/-/Sites-pandora-master-catalog/default/dwbb259ca6/productimages/singlepackshot/293761C01_RGB.png</v>
      </c>
    </row>
    <row r="1955" spans="1:4" x14ac:dyDescent="0.25">
      <c r="A1955" s="3" t="s">
        <v>1957</v>
      </c>
      <c r="B1955" s="4">
        <v>69</v>
      </c>
      <c r="C1955" s="3" t="str">
        <f ca="1">IFERROR(ROWSDUMMYFUNCTION(IF(A1955="","",IFERROR(IMAGE(CONCATENATE("https://us.pandora.net/on/demandware.static/-/Sites-pandora-master-catalog/default/dwbb259ca6/productimages/singlepackshot/",LEFT(A1955,FIND("-",A1955&amp;"-")-1),"_RGB.png")),""))),"{""url"":""https://us.pandora.net/on/demandware.static/-/Sites-pandora-master-catalog/default/dwbb259ca6/productimages/singlepackshot/293774C01_RGB.png"",""mode"":1}")</f>
        <v>{"url":"https://us.pandora.net/on/demandware.static/-/Sites-pandora-master-catalog/default/dwbb259ca6/productimages/singlepackshot/293774C01_RGB.png","mode":1}</v>
      </c>
      <c r="D1955" s="5" t="str">
        <f ca="1">IFERROR(ROWSDUMMYFUNCTION(IF(A1955="","",CONCATENATE("https://us.pandora.net/on/demandware.static/-/Sites-pandora-master-catalog/default/dwbb259ca6/productimages/singlepackshot/",LEFT(A1955,FIND("-",A1955&amp;"-")-1),"_RGB.png"))),"https://us.pandora.net/on/demandware.static/-/Sites-pandora-master-catalog/default/dwbb259ca6/productimages/singlepackshot/293774C01_RGB.png")</f>
        <v>https://us.pandora.net/on/demandware.static/-/Sites-pandora-master-catalog/default/dwbb259ca6/productimages/singlepackshot/293774C01_RGB.png</v>
      </c>
    </row>
    <row r="1956" spans="1:4" x14ac:dyDescent="0.25">
      <c r="A1956" s="3" t="s">
        <v>1958</v>
      </c>
      <c r="B1956" s="4">
        <v>69</v>
      </c>
      <c r="C1956" s="3" t="str">
        <f ca="1">IFERROR(ROWSDUMMYFUNCTION(IF(A1956="","",IFERROR(IMAGE(CONCATENATE("https://us.pandora.net/on/demandware.static/-/Sites-pandora-master-catalog/default/dwbb259ca6/productimages/singlepackshot/",LEFT(A1956,FIND("-",A1956&amp;"-")-1),"_RGB.png")),""))),"{""url"":""https://us.pandora.net/on/demandware.static/-/Sites-pandora-master-catalog/default/dwbb259ca6/productimages/singlepackshot/293779C01_RGB.png"",""mode"":1}")</f>
        <v>{"url":"https://us.pandora.net/on/demandware.static/-/Sites-pandora-master-catalog/default/dwbb259ca6/productimages/singlepackshot/293779C01_RGB.png","mode":1}</v>
      </c>
      <c r="D1956" s="5" t="str">
        <f ca="1">IFERROR(ROWSDUMMYFUNCTION(IF(A1956="","",CONCATENATE("https://us.pandora.net/on/demandware.static/-/Sites-pandora-master-catalog/default/dwbb259ca6/productimages/singlepackshot/",LEFT(A1956,FIND("-",A1956&amp;"-")-1),"_RGB.png"))),"https://us.pandora.net/on/demandware.static/-/Sites-pandora-master-catalog/default/dwbb259ca6/productimages/singlepackshot/293779C01_RGB.png")</f>
        <v>https://us.pandora.net/on/demandware.static/-/Sites-pandora-master-catalog/default/dwbb259ca6/productimages/singlepackshot/293779C01_RGB.png</v>
      </c>
    </row>
    <row r="1957" spans="1:4" x14ac:dyDescent="0.25">
      <c r="A1957" s="3" t="s">
        <v>1959</v>
      </c>
      <c r="B1957" s="4">
        <v>49</v>
      </c>
      <c r="C1957" s="3" t="str">
        <f ca="1">IFERROR(ROWSDUMMYFUNCTION(IF(A1957="","",IFERROR(IMAGE(CONCATENATE("https://us.pandora.net/on/demandware.static/-/Sites-pandora-master-catalog/default/dwbb259ca6/productimages/singlepackshot/",LEFT(A1957,FIND("-",A1957&amp;"-")-1),"_RGB.png")),""))),"{""url"":""https://us.pandora.net/on/demandware.static/-/Sites-pandora-master-catalog/default/dwbb259ca6/productimages/singlepackshot/293849C01_RGB.png"",""mode"":1}")</f>
        <v>{"url":"https://us.pandora.net/on/demandware.static/-/Sites-pandora-master-catalog/default/dwbb259ca6/productimages/singlepackshot/293849C01_RGB.png","mode":1}</v>
      </c>
      <c r="D1957" s="5" t="str">
        <f ca="1">IFERROR(ROWSDUMMYFUNCTION(IF(A1957="","",CONCATENATE("https://us.pandora.net/on/demandware.static/-/Sites-pandora-master-catalog/default/dwbb259ca6/productimages/singlepackshot/",LEFT(A1957,FIND("-",A1957&amp;"-")-1),"_RGB.png"))),"https://us.pandora.net/on/demandware.static/-/Sites-pandora-master-catalog/default/dwbb259ca6/productimages/singlepackshot/293849C01_RGB.png")</f>
        <v>https://us.pandora.net/on/demandware.static/-/Sites-pandora-master-catalog/default/dwbb259ca6/productimages/singlepackshot/293849C01_RGB.png</v>
      </c>
    </row>
    <row r="1958" spans="1:4" x14ac:dyDescent="0.25">
      <c r="A1958" s="3" t="s">
        <v>1960</v>
      </c>
      <c r="B1958" s="4">
        <v>99</v>
      </c>
      <c r="C1958" s="3" t="str">
        <f ca="1">IFERROR(ROWSDUMMYFUNCTION(IF(A1958="","",IFERROR(IMAGE(CONCATENATE("https://us.pandora.net/on/demandware.static/-/Sites-pandora-master-catalog/default/dwbb259ca6/productimages/singlepackshot/",LEFT(A1958,FIND("-",A1958&amp;"-")-1),"_RGB.png")),""))),"{""url"":""https://us.pandora.net/on/demandware.static/-/Sites-pandora-master-catalog/default/dwbb259ca6/productimages/singlepackshot/293851C01_RGB.png"",""mode"":1}")</f>
        <v>{"url":"https://us.pandora.net/on/demandware.static/-/Sites-pandora-master-catalog/default/dwbb259ca6/productimages/singlepackshot/293851C01_RGB.png","mode":1}</v>
      </c>
      <c r="D1958" s="5" t="str">
        <f ca="1">IFERROR(ROWSDUMMYFUNCTION(IF(A1958="","",CONCATENATE("https://us.pandora.net/on/demandware.static/-/Sites-pandora-master-catalog/default/dwbb259ca6/productimages/singlepackshot/",LEFT(A1958,FIND("-",A1958&amp;"-")-1),"_RGB.png"))),"https://us.pandora.net/on/demandware.static/-/Sites-pandora-master-catalog/default/dwbb259ca6/productimages/singlepackshot/293851C01_RGB.png")</f>
        <v>https://us.pandora.net/on/demandware.static/-/Sites-pandora-master-catalog/default/dwbb259ca6/productimages/singlepackshot/293851C01_RGB.png</v>
      </c>
    </row>
    <row r="1959" spans="1:4" x14ac:dyDescent="0.25">
      <c r="A1959" s="3" t="s">
        <v>1961</v>
      </c>
      <c r="B1959" s="4">
        <v>99</v>
      </c>
      <c r="C1959" s="3" t="str">
        <f ca="1">IFERROR(ROWSDUMMYFUNCTION(IF(A1959="","",IFERROR(IMAGE(CONCATENATE("https://us.pandora.net/on/demandware.static/-/Sites-pandora-master-catalog/default/dwbb259ca6/productimages/singlepackshot/",LEFT(A1959,FIND("-",A1959&amp;"-")-1),"_RGB.png")),""))),"{""url"":""https://us.pandora.net/on/demandware.static/-/Sites-pandora-master-catalog/default/dwbb259ca6/productimages/singlepackshot/293851C02_RGB.png"",""mode"":1}")</f>
        <v>{"url":"https://us.pandora.net/on/demandware.static/-/Sites-pandora-master-catalog/default/dwbb259ca6/productimages/singlepackshot/293851C02_RGB.png","mode":1}</v>
      </c>
      <c r="D1959" s="5" t="str">
        <f ca="1">IFERROR(ROWSDUMMYFUNCTION(IF(A1959="","",CONCATENATE("https://us.pandora.net/on/demandware.static/-/Sites-pandora-master-catalog/default/dwbb259ca6/productimages/singlepackshot/",LEFT(A1959,FIND("-",A1959&amp;"-")-1),"_RGB.png"))),"https://us.pandora.net/on/demandware.static/-/Sites-pandora-master-catalog/default/dwbb259ca6/productimages/singlepackshot/293851C02_RGB.png")</f>
        <v>https://us.pandora.net/on/demandware.static/-/Sites-pandora-master-catalog/default/dwbb259ca6/productimages/singlepackshot/293851C02_RGB.png</v>
      </c>
    </row>
    <row r="1960" spans="1:4" x14ac:dyDescent="0.25">
      <c r="A1960" s="3" t="s">
        <v>1962</v>
      </c>
      <c r="B1960" s="4">
        <v>25</v>
      </c>
      <c r="C1960" s="3" t="str">
        <f ca="1">IFERROR(ROWSDUMMYFUNCTION(IF(A1960="","",IFERROR(IMAGE(CONCATENATE("https://us.pandora.net/on/demandware.static/-/Sites-pandora-master-catalog/default/dwbb259ca6/productimages/singlepackshot/",LEFT(A1960,FIND("-",A1960&amp;"-")-1),"_RGB.png")),""))),"{""url"":""https://us.pandora.net/on/demandware.static/-/Sites-pandora-master-catalog/default/dwbb259ca6/productimages/singlepackshot/293856C00_RGB.png"",""mode"":1}")</f>
        <v>{"url":"https://us.pandora.net/on/demandware.static/-/Sites-pandora-master-catalog/default/dwbb259ca6/productimages/singlepackshot/293856C00_RGB.png","mode":1}</v>
      </c>
      <c r="D1960" s="5" t="str">
        <f ca="1">IFERROR(ROWSDUMMYFUNCTION(IF(A1960="","",CONCATENATE("https://us.pandora.net/on/demandware.static/-/Sites-pandora-master-catalog/default/dwbb259ca6/productimages/singlepackshot/",LEFT(A1960,FIND("-",A1960&amp;"-")-1),"_RGB.png"))),"https://us.pandora.net/on/demandware.static/-/Sites-pandora-master-catalog/default/dwbb259ca6/productimages/singlepackshot/293856C00_RGB.png")</f>
        <v>https://us.pandora.net/on/demandware.static/-/Sites-pandora-master-catalog/default/dwbb259ca6/productimages/singlepackshot/293856C00_RGB.png</v>
      </c>
    </row>
    <row r="1961" spans="1:4" x14ac:dyDescent="0.25">
      <c r="A1961" s="3" t="s">
        <v>1963</v>
      </c>
      <c r="B1961" s="4">
        <v>89</v>
      </c>
      <c r="C1961" s="3" t="str">
        <f ca="1">IFERROR(ROWSDUMMYFUNCTION(IF(A1961="","",IFERROR(IMAGE(CONCATENATE("https://us.pandora.net/on/demandware.static/-/Sites-pandora-master-catalog/default/dwbb259ca6/productimages/singlepackshot/",LEFT(A1961,FIND("-",A1961&amp;"-")-1),"_RGB.png")),""))),"{""url"":""https://us.pandora.net/on/demandware.static/-/Sites-pandora-master-catalog/default/dwbb259ca6/productimages/singlepackshot/293874C00_RGB.png"",""mode"":1}")</f>
        <v>{"url":"https://us.pandora.net/on/demandware.static/-/Sites-pandora-master-catalog/default/dwbb259ca6/productimages/singlepackshot/293874C00_RGB.png","mode":1}</v>
      </c>
      <c r="D1961" s="5" t="str">
        <f ca="1">IFERROR(ROWSDUMMYFUNCTION(IF(A1961="","",CONCATENATE("https://us.pandora.net/on/demandware.static/-/Sites-pandora-master-catalog/default/dwbb259ca6/productimages/singlepackshot/",LEFT(A1961,FIND("-",A1961&amp;"-")-1),"_RGB.png"))),"https://us.pandora.net/on/demandware.static/-/Sites-pandora-master-catalog/default/dwbb259ca6/productimages/singlepackshot/293874C00_RGB.png")</f>
        <v>https://us.pandora.net/on/demandware.static/-/Sites-pandora-master-catalog/default/dwbb259ca6/productimages/singlepackshot/293874C00_RGB.png</v>
      </c>
    </row>
    <row r="1962" spans="1:4" x14ac:dyDescent="0.25">
      <c r="A1962" s="3" t="s">
        <v>1964</v>
      </c>
      <c r="B1962" s="4">
        <v>59</v>
      </c>
      <c r="C1962" s="3" t="str">
        <f ca="1">IFERROR(ROWSDUMMYFUNCTION(IF(A1962="","",IFERROR(IMAGE(CONCATENATE("https://us.pandora.net/on/demandware.static/-/Sites-pandora-master-catalog/default/dwbb259ca6/productimages/singlepackshot/",LEFT(A1962,FIND("-",A1962&amp;"-")-1),"_RGB.png")),""))),"{""url"":""https://us.pandora.net/on/demandware.static/-/Sites-pandora-master-catalog/default/dwbb259ca6/productimages/singlepackshot/294230C01_RGB.png"",""mode"":1}")</f>
        <v>{"url":"https://us.pandora.net/on/demandware.static/-/Sites-pandora-master-catalog/default/dwbb259ca6/productimages/singlepackshot/294230C01_RGB.png","mode":1}</v>
      </c>
      <c r="D1962" s="5" t="str">
        <f ca="1">IFERROR(ROWSDUMMYFUNCTION(IF(A1962="","",CONCATENATE("https://us.pandora.net/on/demandware.static/-/Sites-pandora-master-catalog/default/dwbb259ca6/productimages/singlepackshot/",LEFT(A1962,FIND("-",A1962&amp;"-")-1),"_RGB.png"))),"https://us.pandora.net/on/demandware.static/-/Sites-pandora-master-catalog/default/dwbb259ca6/productimages/singlepackshot/294230C01_RGB.png")</f>
        <v>https://us.pandora.net/on/demandware.static/-/Sites-pandora-master-catalog/default/dwbb259ca6/productimages/singlepackshot/294230C01_RGB.png</v>
      </c>
    </row>
    <row r="1963" spans="1:4" x14ac:dyDescent="0.25">
      <c r="A1963" s="3" t="s">
        <v>1965</v>
      </c>
      <c r="B1963" s="4">
        <v>39</v>
      </c>
      <c r="C1963" s="3" t="str">
        <f ca="1">IFERROR(ROWSDUMMYFUNCTION(IF(A1963="","",IFERROR(IMAGE(CONCATENATE("https://us.pandora.net/on/demandware.static/-/Sites-pandora-master-catalog/default/dwbb259ca6/productimages/singlepackshot/",LEFT(A1963,FIND("-",A1963&amp;"-")-1),"_RGB.png")),""))),"{""url"":""https://us.pandora.net/on/demandware.static/-/Sites-pandora-master-catalog/default/dwbb259ca6/productimages/singlepackshot/294257C01_RGB.png"",""mode"":1}")</f>
        <v>{"url":"https://us.pandora.net/on/demandware.static/-/Sites-pandora-master-catalog/default/dwbb259ca6/productimages/singlepackshot/294257C01_RGB.png","mode":1}</v>
      </c>
      <c r="D1963" s="5" t="str">
        <f ca="1">IFERROR(ROWSDUMMYFUNCTION(IF(A1963="","",CONCATENATE("https://us.pandora.net/on/demandware.static/-/Sites-pandora-master-catalog/default/dwbb259ca6/productimages/singlepackshot/",LEFT(A1963,FIND("-",A1963&amp;"-")-1),"_RGB.png"))),"https://us.pandora.net/on/demandware.static/-/Sites-pandora-master-catalog/default/dwbb259ca6/productimages/singlepackshot/294257C01_RGB.png")</f>
        <v>https://us.pandora.net/on/demandware.static/-/Sites-pandora-master-catalog/default/dwbb259ca6/productimages/singlepackshot/294257C01_RGB.png</v>
      </c>
    </row>
    <row r="1964" spans="1:4" x14ac:dyDescent="0.25">
      <c r="A1964" s="3" t="s">
        <v>1966</v>
      </c>
      <c r="B1964" s="4">
        <v>39</v>
      </c>
      <c r="C1964" s="3" t="str">
        <f ca="1">IFERROR(ROWSDUMMYFUNCTION(IF(A1964="","",IFERROR(IMAGE(CONCATENATE("https://us.pandora.net/on/demandware.static/-/Sites-pandora-master-catalog/default/dwbb259ca6/productimages/singlepackshot/",LEFT(A1964,FIND("-",A1964&amp;"-")-1),"_RGB.png")),""))),"{""url"":""https://us.pandora.net/on/demandware.static/-/Sites-pandora-master-catalog/default/dwbb259ca6/productimages/singlepackshot/294263C01_RGB.png"",""mode"":1}")</f>
        <v>{"url":"https://us.pandora.net/on/demandware.static/-/Sites-pandora-master-catalog/default/dwbb259ca6/productimages/singlepackshot/294263C01_RGB.png","mode":1}</v>
      </c>
      <c r="D1964" s="5" t="str">
        <f ca="1">IFERROR(ROWSDUMMYFUNCTION(IF(A1964="","",CONCATENATE("https://us.pandora.net/on/demandware.static/-/Sites-pandora-master-catalog/default/dwbb259ca6/productimages/singlepackshot/",LEFT(A1964,FIND("-",A1964&amp;"-")-1),"_RGB.png"))),"https://us.pandora.net/on/demandware.static/-/Sites-pandora-master-catalog/default/dwbb259ca6/productimages/singlepackshot/294263C01_RGB.png")</f>
        <v>https://us.pandora.net/on/demandware.static/-/Sites-pandora-master-catalog/default/dwbb259ca6/productimages/singlepackshot/294263C01_RGB.png</v>
      </c>
    </row>
    <row r="1965" spans="1:4" x14ac:dyDescent="0.25">
      <c r="A1965" s="3" t="s">
        <v>1967</v>
      </c>
      <c r="B1965" s="4">
        <v>119</v>
      </c>
      <c r="C1965" s="3" t="str">
        <f ca="1">IFERROR(ROWSDUMMYFUNCTION(IF(A1965="","",IFERROR(IMAGE(CONCATENATE("https://us.pandora.net/on/demandware.static/-/Sites-pandora-master-catalog/default/dwbb259ca6/productimages/singlepackshot/",LEFT(A1965,FIND("-",A1965&amp;"-")-1),"_RGB.png")),""))),"{""url"":""https://us.pandora.net/on/demandware.static/-/Sites-pandora-master-catalog/default/dwbb259ca6/productimages/singlepackshot/294265C01_RGB.png"",""mode"":1}")</f>
        <v>{"url":"https://us.pandora.net/on/demandware.static/-/Sites-pandora-master-catalog/default/dwbb259ca6/productimages/singlepackshot/294265C01_RGB.png","mode":1}</v>
      </c>
      <c r="D1965" s="5" t="str">
        <f ca="1">IFERROR(ROWSDUMMYFUNCTION(IF(A1965="","",CONCATENATE("https://us.pandora.net/on/demandware.static/-/Sites-pandora-master-catalog/default/dwbb259ca6/productimages/singlepackshot/",LEFT(A1965,FIND("-",A1965&amp;"-")-1),"_RGB.png"))),"https://us.pandora.net/on/demandware.static/-/Sites-pandora-master-catalog/default/dwbb259ca6/productimages/singlepackshot/294265C01_RGB.png")</f>
        <v>https://us.pandora.net/on/demandware.static/-/Sites-pandora-master-catalog/default/dwbb259ca6/productimages/singlepackshot/294265C01_RGB.png</v>
      </c>
    </row>
    <row r="1966" spans="1:4" x14ac:dyDescent="0.25">
      <c r="A1966" s="3" t="s">
        <v>1968</v>
      </c>
      <c r="B1966" s="4">
        <v>69</v>
      </c>
      <c r="C1966" s="3" t="str">
        <f ca="1">IFERROR(ROWSDUMMYFUNCTION(IF(A1966="","",IFERROR(IMAGE(CONCATENATE("https://us.pandora.net/on/demandware.static/-/Sites-pandora-master-catalog/default/dwbb259ca6/productimages/singlepackshot/",LEFT(A1966,FIND("-",A1966&amp;"-")-1),"_RGB.png")),""))),"{""url"":""https://us.pandora.net/on/demandware.static/-/Sites-pandora-master-catalog/default/dwbb259ca6/productimages/singlepackshot/296272CZ_RGB.png"",""mode"":1}")</f>
        <v>{"url":"https://us.pandora.net/on/demandware.static/-/Sites-pandora-master-catalog/default/dwbb259ca6/productimages/singlepackshot/296272CZ_RGB.png","mode":1}</v>
      </c>
      <c r="D1966" s="5" t="str">
        <f ca="1">IFERROR(ROWSDUMMYFUNCTION(IF(A1966="","",CONCATENATE("https://us.pandora.net/on/demandware.static/-/Sites-pandora-master-catalog/default/dwbb259ca6/productimages/singlepackshot/",LEFT(A1966,FIND("-",A1966&amp;"-")-1),"_RGB.png"))),"https://us.pandora.net/on/demandware.static/-/Sites-pandora-master-catalog/default/dwbb259ca6/productimages/singlepackshot/296272CZ_RGB.png")</f>
        <v>https://us.pandora.net/on/demandware.static/-/Sites-pandora-master-catalog/default/dwbb259ca6/productimages/singlepackshot/296272CZ_RGB.png</v>
      </c>
    </row>
    <row r="1967" spans="1:4" x14ac:dyDescent="0.25">
      <c r="A1967" s="3" t="s">
        <v>1969</v>
      </c>
      <c r="B1967" s="4">
        <v>59</v>
      </c>
      <c r="C1967" s="3" t="str">
        <f ca="1">IFERROR(ROWSDUMMYFUNCTION(IF(A1967="","",IFERROR(IMAGE(CONCATENATE("https://us.pandora.net/on/demandware.static/-/Sites-pandora-master-catalog/default/dwbb259ca6/productimages/singlepackshot/",LEFT(A1967,FIND("-",A1967&amp;"-")-1),"_RGB.png")),""))),"{""url"":""https://us.pandora.net/on/demandware.static/-/Sites-pandora-master-catalog/default/dwbb259ca6/productimages/singlepackshot/296317CZ_RGB.png"",""mode"":1}")</f>
        <v>{"url":"https://us.pandora.net/on/demandware.static/-/Sites-pandora-master-catalog/default/dwbb259ca6/productimages/singlepackshot/296317CZ_RGB.png","mode":1}</v>
      </c>
      <c r="D1967" s="5" t="str">
        <f ca="1">IFERROR(ROWSDUMMYFUNCTION(IF(A1967="","",CONCATENATE("https://us.pandora.net/on/demandware.static/-/Sites-pandora-master-catalog/default/dwbb259ca6/productimages/singlepackshot/",LEFT(A1967,FIND("-",A1967&amp;"-")-1),"_RGB.png"))),"https://us.pandora.net/on/demandware.static/-/Sites-pandora-master-catalog/default/dwbb259ca6/productimages/singlepackshot/296317CZ_RGB.png")</f>
        <v>https://us.pandora.net/on/demandware.static/-/Sites-pandora-master-catalog/default/dwbb259ca6/productimages/singlepackshot/296317CZ_RGB.png</v>
      </c>
    </row>
    <row r="1968" spans="1:4" x14ac:dyDescent="0.25">
      <c r="A1968" s="3" t="s">
        <v>1970</v>
      </c>
      <c r="B1968" s="4">
        <v>89</v>
      </c>
      <c r="C1968" s="3" t="str">
        <f ca="1">IFERROR(ROWSDUMMYFUNCTION(IF(A1968="","",IFERROR(IMAGE(CONCATENATE("https://us.pandora.net/on/demandware.static/-/Sites-pandora-master-catalog/default/dwbb259ca6/productimages/singlepackshot/",LEFT(A1968,FIND("-",A1968&amp;"-")-1),"_RGB.png")),""))),"{""url"":""https://us.pandora.net/on/demandware.static/-/Sites-pandora-master-catalog/default/dwbb259ca6/productimages/singlepackshot/296319CZ_RGB.png"",""mode"":1}")</f>
        <v>{"url":"https://us.pandora.net/on/demandware.static/-/Sites-pandora-master-catalog/default/dwbb259ca6/productimages/singlepackshot/296319CZ_RGB.png","mode":1}</v>
      </c>
      <c r="D1968" s="5" t="str">
        <f ca="1">IFERROR(ROWSDUMMYFUNCTION(IF(A1968="","",CONCATENATE("https://us.pandora.net/on/demandware.static/-/Sites-pandora-master-catalog/default/dwbb259ca6/productimages/singlepackshot/",LEFT(A1968,FIND("-",A1968&amp;"-")-1),"_RGB.png"))),"https://us.pandora.net/on/demandware.static/-/Sites-pandora-master-catalog/default/dwbb259ca6/productimages/singlepackshot/296319CZ_RGB.png")</f>
        <v>https://us.pandora.net/on/demandware.static/-/Sites-pandora-master-catalog/default/dwbb259ca6/productimages/singlepackshot/296319CZ_RGB.png</v>
      </c>
    </row>
    <row r="1969" spans="1:4" x14ac:dyDescent="0.25">
      <c r="A1969" s="3" t="s">
        <v>1971</v>
      </c>
      <c r="B1969" s="4">
        <v>59</v>
      </c>
      <c r="C1969" s="3" t="str">
        <f ca="1">IFERROR(ROWSDUMMYFUNCTION(IF(A1969="","",IFERROR(IMAGE(CONCATENATE("https://us.pandora.net/on/demandware.static/-/Sites-pandora-master-catalog/default/dwbb259ca6/productimages/singlepackshot/",LEFT(A1969,FIND("-",A1969&amp;"-")-1),"_RGB.png")),""))),"{""url"":""https://us.pandora.net/on/demandware.static/-/Sites-pandora-master-catalog/default/dwbb259ca6/productimages/singlepackshot/297822_RGB.png"",""mode"":1}")</f>
        <v>{"url":"https://us.pandora.net/on/demandware.static/-/Sites-pandora-master-catalog/default/dwbb259ca6/productimages/singlepackshot/297822_RGB.png","mode":1}</v>
      </c>
      <c r="D1969" s="5" t="str">
        <f ca="1">IFERROR(ROWSDUMMYFUNCTION(IF(A1969="","",CONCATENATE("https://us.pandora.net/on/demandware.static/-/Sites-pandora-master-catalog/default/dwbb259ca6/productimages/singlepackshot/",LEFT(A1969,FIND("-",A1969&amp;"-")-1),"_RGB.png"))),"https://us.pandora.net/on/demandware.static/-/Sites-pandora-master-catalog/default/dwbb259ca6/productimages/singlepackshot/297822_RGB.png")</f>
        <v>https://us.pandora.net/on/demandware.static/-/Sites-pandora-master-catalog/default/dwbb259ca6/productimages/singlepackshot/297822_RGB.png</v>
      </c>
    </row>
    <row r="1970" spans="1:4" x14ac:dyDescent="0.25">
      <c r="A1970" s="3" t="s">
        <v>1972</v>
      </c>
      <c r="B1970" s="4">
        <v>49</v>
      </c>
      <c r="C1970" s="3" t="str">
        <f ca="1">IFERROR(ROWSDUMMYFUNCTION(IF(A1970="","",IFERROR(IMAGE(CONCATENATE("https://us.pandora.net/on/demandware.static/-/Sites-pandora-master-catalog/default/dwbb259ca6/productimages/singlepackshot/",LEFT(A1970,FIND("-",A1970&amp;"-")-1),"_RGB.png")),""))),"{""url"":""https://us.pandora.net/on/demandware.static/-/Sites-pandora-master-catalog/default/dwbb259ca6/productimages/singlepackshot/298307C00_RGB.png"",""mode"":1}")</f>
        <v>{"url":"https://us.pandora.net/on/demandware.static/-/Sites-pandora-master-catalog/default/dwbb259ca6/productimages/singlepackshot/298307C00_RGB.png","mode":1}</v>
      </c>
      <c r="D1970" s="5" t="str">
        <f ca="1">IFERROR(ROWSDUMMYFUNCTION(IF(A1970="","",CONCATENATE("https://us.pandora.net/on/demandware.static/-/Sites-pandora-master-catalog/default/dwbb259ca6/productimages/singlepackshot/",LEFT(A1970,FIND("-",A1970&amp;"-")-1),"_RGB.png"))),"https://us.pandora.net/on/demandware.static/-/Sites-pandora-master-catalog/default/dwbb259ca6/productimages/singlepackshot/298307C00_RGB.png")</f>
        <v>https://us.pandora.net/on/demandware.static/-/Sites-pandora-master-catalog/default/dwbb259ca6/productimages/singlepackshot/298307C00_RGB.png</v>
      </c>
    </row>
    <row r="1971" spans="1:4" x14ac:dyDescent="0.25">
      <c r="A1971" s="3" t="s">
        <v>1973</v>
      </c>
      <c r="B1971" s="4">
        <v>59</v>
      </c>
      <c r="C1971" s="3" t="str">
        <f ca="1">IFERROR(ROWSDUMMYFUNCTION(IF(A1971="","",IFERROR(IMAGE(CONCATENATE("https://us.pandora.net/on/demandware.static/-/Sites-pandora-master-catalog/default/dwbb259ca6/productimages/singlepackshot/",LEFT(A1971,FIND("-",A1971&amp;"-")-1),"_RGB.png")),""))),"{""url"":""https://us.pandora.net/on/demandware.static/-/Sites-pandora-master-catalog/default/dwbb259ca6/productimages/singlepackshot/298427C01_RGB.png"",""mode"":1}")</f>
        <v>{"url":"https://us.pandora.net/on/demandware.static/-/Sites-pandora-master-catalog/default/dwbb259ca6/productimages/singlepackshot/298427C01_RGB.png","mode":1}</v>
      </c>
      <c r="D1971" s="5" t="str">
        <f ca="1">IFERROR(ROWSDUMMYFUNCTION(IF(A1971="","",CONCATENATE("https://us.pandora.net/on/demandware.static/-/Sites-pandora-master-catalog/default/dwbb259ca6/productimages/singlepackshot/",LEFT(A1971,FIND("-",A1971&amp;"-")-1),"_RGB.png"))),"https://us.pandora.net/on/demandware.static/-/Sites-pandora-master-catalog/default/dwbb259ca6/productimages/singlepackshot/298427C01_RGB.png")</f>
        <v>https://us.pandora.net/on/demandware.static/-/Sites-pandora-master-catalog/default/dwbb259ca6/productimages/singlepackshot/298427C01_RGB.png</v>
      </c>
    </row>
    <row r="1972" spans="1:4" x14ac:dyDescent="0.25">
      <c r="A1972" s="3" t="s">
        <v>1974</v>
      </c>
      <c r="B1972" s="4">
        <v>59</v>
      </c>
      <c r="C1972" s="3" t="str">
        <f ca="1">IFERROR(ROWSDUMMYFUNCTION(IF(A1972="","",IFERROR(IMAGE(CONCATENATE("https://us.pandora.net/on/demandware.static/-/Sites-pandora-master-catalog/default/dwbb259ca6/productimages/singlepackshot/",LEFT(A1972,FIND("-",A1972&amp;"-")-1),"_RGB.png")),""))),"{""url"":""https://us.pandora.net/on/demandware.static/-/Sites-pandora-master-catalog/default/dwbb259ca6/productimages/singlepackshot/298427C02_RGB.png"",""mode"":1}")</f>
        <v>{"url":"https://us.pandora.net/on/demandware.static/-/Sites-pandora-master-catalog/default/dwbb259ca6/productimages/singlepackshot/298427C02_RGB.png","mode":1}</v>
      </c>
      <c r="D1972" s="5" t="str">
        <f ca="1">IFERROR(ROWSDUMMYFUNCTION(IF(A1972="","",CONCATENATE("https://us.pandora.net/on/demandware.static/-/Sites-pandora-master-catalog/default/dwbb259ca6/productimages/singlepackshot/",LEFT(A1972,FIND("-",A1972&amp;"-")-1),"_RGB.png"))),"https://us.pandora.net/on/demandware.static/-/Sites-pandora-master-catalog/default/dwbb259ca6/productimages/singlepackshot/298427C02_RGB.png")</f>
        <v>https://us.pandora.net/on/demandware.static/-/Sites-pandora-master-catalog/default/dwbb259ca6/productimages/singlepackshot/298427C02_RGB.png</v>
      </c>
    </row>
    <row r="1973" spans="1:4" x14ac:dyDescent="0.25">
      <c r="A1973" s="3" t="s">
        <v>1975</v>
      </c>
      <c r="B1973" s="4">
        <v>59</v>
      </c>
      <c r="C1973" s="3" t="str">
        <f ca="1">IFERROR(ROWSDUMMYFUNCTION(IF(A1973="","",IFERROR(IMAGE(CONCATENATE("https://us.pandora.net/on/demandware.static/-/Sites-pandora-master-catalog/default/dwbb259ca6/productimages/singlepackshot/",LEFT(A1973,FIND("-",A1973&amp;"-")-1),"_RGB.png")),""))),"{""url"":""https://us.pandora.net/on/demandware.static/-/Sites-pandora-master-catalog/default/dwbb259ca6/productimages/singlepackshot/298427C03_RGB.png"",""mode"":1}")</f>
        <v>{"url":"https://us.pandora.net/on/demandware.static/-/Sites-pandora-master-catalog/default/dwbb259ca6/productimages/singlepackshot/298427C03_RGB.png","mode":1}</v>
      </c>
      <c r="D1973" s="5" t="str">
        <f ca="1">IFERROR(ROWSDUMMYFUNCTION(IF(A1973="","",CONCATENATE("https://us.pandora.net/on/demandware.static/-/Sites-pandora-master-catalog/default/dwbb259ca6/productimages/singlepackshot/",LEFT(A1973,FIND("-",A1973&amp;"-")-1),"_RGB.png"))),"https://us.pandora.net/on/demandware.static/-/Sites-pandora-master-catalog/default/dwbb259ca6/productimages/singlepackshot/298427C03_RGB.png")</f>
        <v>https://us.pandora.net/on/demandware.static/-/Sites-pandora-master-catalog/default/dwbb259ca6/productimages/singlepackshot/298427C03_RGB.png</v>
      </c>
    </row>
    <row r="1974" spans="1:4" x14ac:dyDescent="0.25">
      <c r="A1974" s="3" t="s">
        <v>1976</v>
      </c>
      <c r="B1974" s="4">
        <v>29</v>
      </c>
      <c r="C1974" s="3" t="str">
        <f ca="1">IFERROR(ROWSDUMMYFUNCTION(IF(A1974="","",IFERROR(IMAGE(CONCATENATE("https://us.pandora.net/on/demandware.static/-/Sites-pandora-master-catalog/default/dwbb259ca6/productimages/singlepackshot/",LEFT(A1974,FIND("-",A1974&amp;"-")-1),"_RGB.png")),""))),"{""url"":""https://us.pandora.net/on/demandware.static/-/Sites-pandora-master-catalog/default/dwbb259ca6/productimages/singlepackshot/298820C01_RGB.png"",""mode"":1}")</f>
        <v>{"url":"https://us.pandora.net/on/demandware.static/-/Sites-pandora-master-catalog/default/dwbb259ca6/productimages/singlepackshot/298820C01_RGB.png","mode":1}</v>
      </c>
      <c r="D1974" s="5" t="str">
        <f ca="1">IFERROR(ROWSDUMMYFUNCTION(IF(A1974="","",CONCATENATE("https://us.pandora.net/on/demandware.static/-/Sites-pandora-master-catalog/default/dwbb259ca6/productimages/singlepackshot/",LEFT(A1974,FIND("-",A1974&amp;"-")-1),"_RGB.png"))),"https://us.pandora.net/on/demandware.static/-/Sites-pandora-master-catalog/default/dwbb259ca6/productimages/singlepackshot/298820C01_RGB.png")</f>
        <v>https://us.pandora.net/on/demandware.static/-/Sites-pandora-master-catalog/default/dwbb259ca6/productimages/singlepackshot/298820C01_RGB.png</v>
      </c>
    </row>
    <row r="1975" spans="1:4" x14ac:dyDescent="0.25">
      <c r="A1975" s="3" t="s">
        <v>1977</v>
      </c>
      <c r="B1975" s="4">
        <v>59</v>
      </c>
      <c r="C1975" s="3" t="str">
        <f ca="1">IFERROR(ROWSDUMMYFUNCTION(IF(A1975="","",IFERROR(IMAGE(CONCATENATE("https://us.pandora.net/on/demandware.static/-/Sites-pandora-master-catalog/default/dwbb259ca6/productimages/singlepackshot/",LEFT(A1975,FIND("-",A1975&amp;"-")-1),"_RGB.png")),""))),"{""url"":""https://us.pandora.net/on/demandware.static/-/Sites-pandora-master-catalog/default/dwbb259ca6/productimages/singlepackshot/299239C01_RGB.png"",""mode"":1}")</f>
        <v>{"url":"https://us.pandora.net/on/demandware.static/-/Sites-pandora-master-catalog/default/dwbb259ca6/productimages/singlepackshot/299239C01_RGB.png","mode":1}</v>
      </c>
      <c r="D1975" s="5" t="str">
        <f ca="1">IFERROR(ROWSDUMMYFUNCTION(IF(A1975="","",CONCATENATE("https://us.pandora.net/on/demandware.static/-/Sites-pandora-master-catalog/default/dwbb259ca6/productimages/singlepackshot/",LEFT(A1975,FIND("-",A1975&amp;"-")-1),"_RGB.png"))),"https://us.pandora.net/on/demandware.static/-/Sites-pandora-master-catalog/default/dwbb259ca6/productimages/singlepackshot/299239C01_RGB.png")</f>
        <v>https://us.pandora.net/on/demandware.static/-/Sites-pandora-master-catalog/default/dwbb259ca6/productimages/singlepackshot/299239C01_RGB.png</v>
      </c>
    </row>
    <row r="1976" spans="1:4" x14ac:dyDescent="0.25">
      <c r="A1976" s="3" t="s">
        <v>1978</v>
      </c>
      <c r="B1976" s="4">
        <v>59</v>
      </c>
      <c r="C1976" s="3" t="str">
        <f ca="1">IFERROR(ROWSDUMMYFUNCTION(IF(A1976="","",IFERROR(IMAGE(CONCATENATE("https://us.pandora.net/on/demandware.static/-/Sites-pandora-master-catalog/default/dwbb259ca6/productimages/singlepackshot/",LEFT(A1976,FIND("-",A1976&amp;"-")-1),"_RGB.png")),""))),"{""url"":""https://us.pandora.net/on/demandware.static/-/Sites-pandora-master-catalog/default/dwbb259ca6/productimages/singlepackshot/299486C01_RGB.png"",""mode"":1}")</f>
        <v>{"url":"https://us.pandora.net/on/demandware.static/-/Sites-pandora-master-catalog/default/dwbb259ca6/productimages/singlepackshot/299486C01_RGB.png","mode":1}</v>
      </c>
      <c r="D1976" s="5" t="str">
        <f ca="1">IFERROR(ROWSDUMMYFUNCTION(IF(A1976="","",CONCATENATE("https://us.pandora.net/on/demandware.static/-/Sites-pandora-master-catalog/default/dwbb259ca6/productimages/singlepackshot/",LEFT(A1976,FIND("-",A1976&amp;"-")-1),"_RGB.png"))),"https://us.pandora.net/on/demandware.static/-/Sites-pandora-master-catalog/default/dwbb259ca6/productimages/singlepackshot/299486C01_RGB.png")</f>
        <v>https://us.pandora.net/on/demandware.static/-/Sites-pandora-master-catalog/default/dwbb259ca6/productimages/singlepackshot/299486C01_RGB.png</v>
      </c>
    </row>
    <row r="1977" spans="1:4" x14ac:dyDescent="0.25">
      <c r="A1977" s="3" t="s">
        <v>1979</v>
      </c>
      <c r="B1977" s="4">
        <v>59</v>
      </c>
      <c r="C1977" s="3" t="str">
        <f ca="1">IFERROR(ROWSDUMMYFUNCTION(IF(A1977="","",IFERROR(IMAGE(CONCATENATE("https://us.pandora.net/on/demandware.static/-/Sites-pandora-master-catalog/default/dwbb259ca6/productimages/singlepackshot/",LEFT(A1977,FIND("-",A1977&amp;"-")-1),"_RGB.png")),""))),"{""url"":""https://us.pandora.net/on/demandware.static/-/Sites-pandora-master-catalog/default/dwbb259ca6/productimages/singlepackshot/299532C00_RGB.png"",""mode"":1}")</f>
        <v>{"url":"https://us.pandora.net/on/demandware.static/-/Sites-pandora-master-catalog/default/dwbb259ca6/productimages/singlepackshot/299532C00_RGB.png","mode":1}</v>
      </c>
      <c r="D1977" s="5" t="str">
        <f ca="1">IFERROR(ROWSDUMMYFUNCTION(IF(A1977="","",CONCATENATE("https://us.pandora.net/on/demandware.static/-/Sites-pandora-master-catalog/default/dwbb259ca6/productimages/singlepackshot/",LEFT(A1977,FIND("-",A1977&amp;"-")-1),"_RGB.png"))),"https://us.pandora.net/on/demandware.static/-/Sites-pandora-master-catalog/default/dwbb259ca6/productimages/singlepackshot/299532C00_RGB.png")</f>
        <v>https://us.pandora.net/on/demandware.static/-/Sites-pandora-master-catalog/default/dwbb259ca6/productimages/singlepackshot/299532C00_RGB.png</v>
      </c>
    </row>
    <row r="1978" spans="1:4" x14ac:dyDescent="0.25">
      <c r="A1978" s="3" t="s">
        <v>1980</v>
      </c>
      <c r="B1978" s="4">
        <v>29</v>
      </c>
      <c r="C1978" s="3" t="str">
        <f ca="1">IFERROR(ROWSDUMMYFUNCTION(IF(A1978="","",IFERROR(IMAGE(CONCATENATE("https://us.pandora.net/on/demandware.static/-/Sites-pandora-master-catalog/default/dwbb259ca6/productimages/singlepackshot/",LEFT(A1978,FIND("-",A1978&amp;"-")-1),"_RGB.png")),""))),"{""url"":""https://us.pandora.net/on/demandware.static/-/Sites-pandora-master-catalog/default/dwbb259ca6/productimages/singlepackshot/299682C01_RGB.png"",""mode"":1}")</f>
        <v>{"url":"https://us.pandora.net/on/demandware.static/-/Sites-pandora-master-catalog/default/dwbb259ca6/productimages/singlepackshot/299682C01_RGB.png","mode":1}</v>
      </c>
      <c r="D1978" s="5" t="str">
        <f ca="1">IFERROR(ROWSDUMMYFUNCTION(IF(A1978="","",CONCATENATE("https://us.pandora.net/on/demandware.static/-/Sites-pandora-master-catalog/default/dwbb259ca6/productimages/singlepackshot/",LEFT(A1978,FIND("-",A1978&amp;"-")-1),"_RGB.png"))),"https://us.pandora.net/on/demandware.static/-/Sites-pandora-master-catalog/default/dwbb259ca6/productimages/singlepackshot/299682C01_RGB.png")</f>
        <v>https://us.pandora.net/on/demandware.static/-/Sites-pandora-master-catalog/default/dwbb259ca6/productimages/singlepackshot/299682C01_RGB.png</v>
      </c>
    </row>
    <row r="1979" spans="1:4" x14ac:dyDescent="0.25">
      <c r="A1979" s="3" t="s">
        <v>1981</v>
      </c>
      <c r="B1979" s="4">
        <v>179</v>
      </c>
      <c r="C1979" s="3" t="str">
        <f ca="1">IFERROR(ROWSDUMMYFUNCTION(IF(A1979="","",IFERROR(IMAGE(CONCATENATE("https://us.pandora.net/on/demandware.static/-/Sites-pandora-master-catalog/default/dwbb259ca6/productimages/singlepackshot/",LEFT(A1979,FIND("-",A1979&amp;"-")-1),"_RGB.png")),""))),"{""url"":""https://us.pandora.net/on/demandware.static/-/Sites-pandora-master-catalog/default/dwbb259ca6/productimages/singlepackshot/361174C01_RGB.png"",""mode"":1}")</f>
        <v>{"url":"https://us.pandora.net/on/demandware.static/-/Sites-pandora-master-catalog/default/dwbb259ca6/productimages/singlepackshot/361174C01_RGB.png","mode":1}</v>
      </c>
      <c r="D1979" s="5" t="str">
        <f ca="1">IFERROR(ROWSDUMMYFUNCTION(IF(A1979="","",CONCATENATE("https://us.pandora.net/on/demandware.static/-/Sites-pandora-master-catalog/default/dwbb259ca6/productimages/singlepackshot/",LEFT(A1979,FIND("-",A1979&amp;"-")-1),"_RGB.png"))),"https://us.pandora.net/on/demandware.static/-/Sites-pandora-master-catalog/default/dwbb259ca6/productimages/singlepackshot/361174C01_RGB.png")</f>
        <v>https://us.pandora.net/on/demandware.static/-/Sites-pandora-master-catalog/default/dwbb259ca6/productimages/singlepackshot/361174C01_RGB.png</v>
      </c>
    </row>
    <row r="1980" spans="1:4" x14ac:dyDescent="0.25">
      <c r="A1980" s="3" t="s">
        <v>1982</v>
      </c>
      <c r="B1980" s="4">
        <v>279</v>
      </c>
      <c r="C1980" s="3" t="str">
        <f ca="1">IFERROR(ROWSDUMMYFUNCTION(IF(A1980="","",IFERROR(IMAGE(CONCATENATE("https://us.pandora.net/on/demandware.static/-/Sites-pandora-master-catalog/default/dwbb259ca6/productimages/singlepackshot/",LEFT(A1980,FIND("-",A1980&amp;"-")-1),"_RGB.png")),""))),"{""url"":""https://us.pandora.net/on/demandware.static/-/Sites-pandora-master-catalog/default/dwbb259ca6/productimages/singlepackshot/362234C00_RGB.png"",""mode"":1}")</f>
        <v>{"url":"https://us.pandora.net/on/demandware.static/-/Sites-pandora-master-catalog/default/dwbb259ca6/productimages/singlepackshot/362234C00_RGB.png","mode":1}</v>
      </c>
      <c r="D1980" s="5" t="str">
        <f ca="1">IFERROR(ROWSDUMMYFUNCTION(IF(A1980="","",CONCATENATE("https://us.pandora.net/on/demandware.static/-/Sites-pandora-master-catalog/default/dwbb259ca6/productimages/singlepackshot/",LEFT(A1980,FIND("-",A1980&amp;"-")-1),"_RGB.png"))),"https://us.pandora.net/on/demandware.static/-/Sites-pandora-master-catalog/default/dwbb259ca6/productimages/singlepackshot/362234C00_RGB.png")</f>
        <v>https://us.pandora.net/on/demandware.static/-/Sites-pandora-master-catalog/default/dwbb259ca6/productimages/singlepackshot/362234C00_RGB.png</v>
      </c>
    </row>
    <row r="1981" spans="1:4" x14ac:dyDescent="0.25">
      <c r="A1981" s="3" t="s">
        <v>1983</v>
      </c>
      <c r="B1981" s="4">
        <v>279</v>
      </c>
      <c r="C1981" s="3" t="str">
        <f ca="1">IFERROR(ROWSDUMMYFUNCTION(IF(A1981="","",IFERROR(IMAGE(CONCATENATE("https://us.pandora.net/on/demandware.static/-/Sites-pandora-master-catalog/default/dwbb259ca6/productimages/singlepackshot/",LEFT(A1981,FIND("-",A1981&amp;"-")-1),"_RGB.png")),""))),"{""url"":""https://us.pandora.net/on/demandware.static/-/Sites-pandora-master-catalog/default/dwbb259ca6/productimages/singlepackshot/362234C00_RGB.png"",""mode"":1}")</f>
        <v>{"url":"https://us.pandora.net/on/demandware.static/-/Sites-pandora-master-catalog/default/dwbb259ca6/productimages/singlepackshot/362234C00_RGB.png","mode":1}</v>
      </c>
      <c r="D1981" s="5" t="str">
        <f ca="1">IFERROR(ROWSDUMMYFUNCTION(IF(A1981="","",CONCATENATE("https://us.pandora.net/on/demandware.static/-/Sites-pandora-master-catalog/default/dwbb259ca6/productimages/singlepackshot/",LEFT(A1981,FIND("-",A1981&amp;"-")-1),"_RGB.png"))),"https://us.pandora.net/on/demandware.static/-/Sites-pandora-master-catalog/default/dwbb259ca6/productimages/singlepackshot/362234C00_RGB.png")</f>
        <v>https://us.pandora.net/on/demandware.static/-/Sites-pandora-master-catalog/default/dwbb259ca6/productimages/singlepackshot/362234C00_RGB.png</v>
      </c>
    </row>
    <row r="1982" spans="1:4" x14ac:dyDescent="0.25">
      <c r="A1982" s="3" t="s">
        <v>1984</v>
      </c>
      <c r="B1982" s="4">
        <v>99</v>
      </c>
      <c r="C1982" s="3" t="str">
        <f ca="1">IFERROR(ROWSDUMMYFUNCTION(IF(A1982="","",IFERROR(IMAGE(CONCATENATE("https://us.pandora.net/on/demandware.static/-/Sites-pandora-master-catalog/default/dwbb259ca6/productimages/singlepackshot/",LEFT(A1982,FIND("-",A1982&amp;"-")-1),"_RGB.png")),""))),"{""url"":""https://us.pandora.net/on/demandware.static/-/Sites-pandora-master-catalog/default/dwbb259ca6/productimages/singlepackshot/362237C00_RGB.png"",""mode"":1}")</f>
        <v>{"url":"https://us.pandora.net/on/demandware.static/-/Sites-pandora-master-catalog/default/dwbb259ca6/productimages/singlepackshot/362237C00_RGB.png","mode":1}</v>
      </c>
      <c r="D1982" s="5" t="str">
        <f ca="1">IFERROR(ROWSDUMMYFUNCTION(IF(A1982="","",CONCATENATE("https://us.pandora.net/on/demandware.static/-/Sites-pandora-master-catalog/default/dwbb259ca6/productimages/singlepackshot/",LEFT(A1982,FIND("-",A1982&amp;"-")-1),"_RGB.png"))),"https://us.pandora.net/on/demandware.static/-/Sites-pandora-master-catalog/default/dwbb259ca6/productimages/singlepackshot/362237C00_RGB.png")</f>
        <v>https://us.pandora.net/on/demandware.static/-/Sites-pandora-master-catalog/default/dwbb259ca6/productimages/singlepackshot/362237C00_RGB.png</v>
      </c>
    </row>
    <row r="1983" spans="1:4" x14ac:dyDescent="0.25">
      <c r="A1983" s="3" t="s">
        <v>1985</v>
      </c>
      <c r="B1983" s="4">
        <v>279</v>
      </c>
      <c r="C1983" s="3" t="str">
        <f ca="1">IFERROR(ROWSDUMMYFUNCTION(IF(A1983="","",IFERROR(IMAGE(CONCATENATE("https://us.pandora.net/on/demandware.static/-/Sites-pandora-master-catalog/default/dwbb259ca6/productimages/singlepackshot/",LEFT(A1983,FIND("-",A1983&amp;"-")-1),"_RGB.png")),""))),"{""url"":""https://us.pandora.net/on/demandware.static/-/Sites-pandora-master-catalog/default/dwbb259ca6/productimages/singlepackshot/362302C01_RGB.png"",""mode"":1}")</f>
        <v>{"url":"https://us.pandora.net/on/demandware.static/-/Sites-pandora-master-catalog/default/dwbb259ca6/productimages/singlepackshot/362302C01_RGB.png","mode":1}</v>
      </c>
      <c r="D1983" s="5" t="str">
        <f ca="1">IFERROR(ROWSDUMMYFUNCTION(IF(A1983="","",CONCATENATE("https://us.pandora.net/on/demandware.static/-/Sites-pandora-master-catalog/default/dwbb259ca6/productimages/singlepackshot/",LEFT(A1983,FIND("-",A1983&amp;"-")-1),"_RGB.png"))),"https://us.pandora.net/on/demandware.static/-/Sites-pandora-master-catalog/default/dwbb259ca6/productimages/singlepackshot/362302C01_RGB.png")</f>
        <v>https://us.pandora.net/on/demandware.static/-/Sites-pandora-master-catalog/default/dwbb259ca6/productimages/singlepackshot/362302C01_RGB.png</v>
      </c>
    </row>
    <row r="1984" spans="1:4" x14ac:dyDescent="0.25">
      <c r="A1984" s="3" t="s">
        <v>1986</v>
      </c>
      <c r="B1984" s="4">
        <v>179</v>
      </c>
      <c r="C1984" s="3" t="str">
        <f ca="1">IFERROR(ROWSDUMMYFUNCTION(IF(A1984="","",IFERROR(IMAGE(CONCATENATE("https://us.pandora.net/on/demandware.static/-/Sites-pandora-master-catalog/default/dwbb259ca6/productimages/singlepackshot/",LEFT(A1984,FIND("-",A1984&amp;"-")-1),"_RGB.png")),""))),"{""url"":""https://us.pandora.net/on/demandware.static/-/Sites-pandora-master-catalog/default/dwbb259ca6/productimages/singlepackshot/362387C01_RGB.png"",""mode"":1}")</f>
        <v>{"url":"https://us.pandora.net/on/demandware.static/-/Sites-pandora-master-catalog/default/dwbb259ca6/productimages/singlepackshot/362387C01_RGB.png","mode":1}</v>
      </c>
      <c r="D1984" s="5" t="str">
        <f ca="1">IFERROR(ROWSDUMMYFUNCTION(IF(A1984="","",CONCATENATE("https://us.pandora.net/on/demandware.static/-/Sites-pandora-master-catalog/default/dwbb259ca6/productimages/singlepackshot/",LEFT(A1984,FIND("-",A1984&amp;"-")-1),"_RGB.png"))),"https://us.pandora.net/on/demandware.static/-/Sites-pandora-master-catalog/default/dwbb259ca6/productimages/singlepackshot/362387C01_RGB.png")</f>
        <v>https://us.pandora.net/on/demandware.static/-/Sites-pandora-master-catalog/default/dwbb259ca6/productimages/singlepackshot/362387C01_RGB.png</v>
      </c>
    </row>
    <row r="1985" spans="1:4" x14ac:dyDescent="0.25">
      <c r="A1985" s="3" t="s">
        <v>1987</v>
      </c>
      <c r="B1985" s="4">
        <v>269</v>
      </c>
      <c r="C1985" s="3" t="str">
        <f ca="1">IFERROR(ROWSDUMMYFUNCTION(IF(A1985="","",IFERROR(IMAGE(CONCATENATE("https://us.pandora.net/on/demandware.static/-/Sites-pandora-master-catalog/default/dwbb259ca6/productimages/singlepackshot/",LEFT(A1985,FIND("-",A1985&amp;"-")-1),"_RGB.png")),""))),"{""url"":""https://us.pandora.net/on/demandware.static/-/Sites-pandora-master-catalog/default/dwbb259ca6/productimages/singlepackshot/362451C00_RGB.png"",""mode"":1}")</f>
        <v>{"url":"https://us.pandora.net/on/demandware.static/-/Sites-pandora-master-catalog/default/dwbb259ca6/productimages/singlepackshot/362451C00_RGB.png","mode":1}</v>
      </c>
      <c r="D1985" s="5" t="str">
        <f ca="1">IFERROR(ROWSDUMMYFUNCTION(IF(A1985="","",CONCATENATE("https://us.pandora.net/on/demandware.static/-/Sites-pandora-master-catalog/default/dwbb259ca6/productimages/singlepackshot/",LEFT(A1985,FIND("-",A1985&amp;"-")-1),"_RGB.png"))),"https://us.pandora.net/on/demandware.static/-/Sites-pandora-master-catalog/default/dwbb259ca6/productimages/singlepackshot/362451C00_RGB.png")</f>
        <v>https://us.pandora.net/on/demandware.static/-/Sites-pandora-master-catalog/default/dwbb259ca6/productimages/singlepackshot/362451C00_RGB.png</v>
      </c>
    </row>
    <row r="1986" spans="1:4" x14ac:dyDescent="0.25">
      <c r="A1986" s="3" t="s">
        <v>1988</v>
      </c>
      <c r="B1986" s="4">
        <v>129</v>
      </c>
      <c r="C1986" s="3" t="str">
        <f ca="1">IFERROR(ROWSDUMMYFUNCTION(IF(A1986="","",IFERROR(IMAGE(CONCATENATE("https://us.pandora.net/on/demandware.static/-/Sites-pandora-master-catalog/default/dwbb259ca6/productimages/singlepackshot/",LEFT(A1986,FIND("-",A1986&amp;"-")-1),"_RGB.png")),""))),"{""url"":""https://us.pandora.net/on/demandware.static/-/Sites-pandora-master-catalog/default/dwbb259ca6/productimages/singlepackshot/362666C01_RGB.png"",""mode"":1}")</f>
        <v>{"url":"https://us.pandora.net/on/demandware.static/-/Sites-pandora-master-catalog/default/dwbb259ca6/productimages/singlepackshot/362666C01_RGB.png","mode":1}</v>
      </c>
      <c r="D1986" s="5" t="str">
        <f ca="1">IFERROR(ROWSDUMMYFUNCTION(IF(A1986="","",CONCATENATE("https://us.pandora.net/on/demandware.static/-/Sites-pandora-master-catalog/default/dwbb259ca6/productimages/singlepackshot/",LEFT(A1986,FIND("-",A1986&amp;"-")-1),"_RGB.png"))),"https://us.pandora.net/on/demandware.static/-/Sites-pandora-master-catalog/default/dwbb259ca6/productimages/singlepackshot/362666C01_RGB.png")</f>
        <v>https://us.pandora.net/on/demandware.static/-/Sites-pandora-master-catalog/default/dwbb259ca6/productimages/singlepackshot/362666C01_RGB.png</v>
      </c>
    </row>
    <row r="1987" spans="1:4" x14ac:dyDescent="0.25">
      <c r="A1987" s="3" t="s">
        <v>1989</v>
      </c>
      <c r="B1987" s="4">
        <v>119</v>
      </c>
      <c r="C1987" s="3" t="str">
        <f ca="1">IFERROR(ROWSDUMMYFUNCTION(IF(A1987="","",IFERROR(IMAGE(CONCATENATE("https://us.pandora.net/on/demandware.static/-/Sites-pandora-master-catalog/default/dwbb259ca6/productimages/singlepackshot/",LEFT(A1987,FIND("-",A1987&amp;"-")-1),"_RGB.png")),""))),"{""url"":""https://us.pandora.net/on/demandware.static/-/Sites-pandora-master-catalog/default/dwbb259ca6/productimages/singlepackshot/363014C01_RGB.png"",""mode"":1}")</f>
        <v>{"url":"https://us.pandora.net/on/demandware.static/-/Sites-pandora-master-catalog/default/dwbb259ca6/productimages/singlepackshot/363014C01_RGB.png","mode":1}</v>
      </c>
      <c r="D1987" s="5" t="str">
        <f ca="1">IFERROR(ROWSDUMMYFUNCTION(IF(A1987="","",CONCATENATE("https://us.pandora.net/on/demandware.static/-/Sites-pandora-master-catalog/default/dwbb259ca6/productimages/singlepackshot/",LEFT(A1987,FIND("-",A1987&amp;"-")-1),"_RGB.png"))),"https://us.pandora.net/on/demandware.static/-/Sites-pandora-master-catalog/default/dwbb259ca6/productimages/singlepackshot/363014C01_RGB.png")</f>
        <v>https://us.pandora.net/on/demandware.static/-/Sites-pandora-master-catalog/default/dwbb259ca6/productimages/singlepackshot/363014C01_RGB.png</v>
      </c>
    </row>
    <row r="1988" spans="1:4" x14ac:dyDescent="0.25">
      <c r="A1988" s="3" t="s">
        <v>1990</v>
      </c>
      <c r="B1988" s="4">
        <v>89</v>
      </c>
      <c r="C1988" s="3" t="str">
        <f ca="1">IFERROR(ROWSDUMMYFUNCTION(IF(A1988="","",IFERROR(IMAGE(CONCATENATE("https://us.pandora.net/on/demandware.static/-/Sites-pandora-master-catalog/default/dwbb259ca6/productimages/singlepackshot/",LEFT(A1988,FIND("-",A1988&amp;"-")-1),"_RGB.png")),""))),"{""url"":""https://us.pandora.net/on/demandware.static/-/Sites-pandora-master-catalog/default/dwbb259ca6/productimages/singlepackshot/363052C00_RGB.png"",""mode"":1}")</f>
        <v>{"url":"https://us.pandora.net/on/demandware.static/-/Sites-pandora-master-catalog/default/dwbb259ca6/productimages/singlepackshot/363052C00_RGB.png","mode":1}</v>
      </c>
      <c r="D1988" s="5" t="str">
        <f ca="1">IFERROR(ROWSDUMMYFUNCTION(IF(A1988="","",CONCATENATE("https://us.pandora.net/on/demandware.static/-/Sites-pandora-master-catalog/default/dwbb259ca6/productimages/singlepackshot/",LEFT(A1988,FIND("-",A1988&amp;"-")-1),"_RGB.png"))),"https://us.pandora.net/on/demandware.static/-/Sites-pandora-master-catalog/default/dwbb259ca6/productimages/singlepackshot/363052C00_RGB.png")</f>
        <v>https://us.pandora.net/on/demandware.static/-/Sites-pandora-master-catalog/default/dwbb259ca6/productimages/singlepackshot/363052C00_RGB.png</v>
      </c>
    </row>
    <row r="1989" spans="1:4" x14ac:dyDescent="0.25">
      <c r="A1989" s="3" t="s">
        <v>1991</v>
      </c>
      <c r="B1989" s="4">
        <v>179</v>
      </c>
      <c r="C1989" s="3" t="str">
        <f ca="1">IFERROR(ROWSDUMMYFUNCTION(IF(A1989="","",IFERROR(IMAGE(CONCATENATE("https://us.pandora.net/on/demandware.static/-/Sites-pandora-master-catalog/default/dwbb259ca6/productimages/singlepackshot/",LEFT(A1989,FIND("-",A1989&amp;"-")-1),"_RGB.png")),""))),"{""url"":""https://us.pandora.net/on/demandware.static/-/Sites-pandora-master-catalog/default/dwbb259ca6/productimages/singlepackshot/363167C01_RGB.png"",""mode"":1}")</f>
        <v>{"url":"https://us.pandora.net/on/demandware.static/-/Sites-pandora-master-catalog/default/dwbb259ca6/productimages/singlepackshot/363167C01_RGB.png","mode":1}</v>
      </c>
      <c r="D1989" s="5" t="str">
        <f ca="1">IFERROR(ROWSDUMMYFUNCTION(IF(A1989="","",CONCATENATE("https://us.pandora.net/on/demandware.static/-/Sites-pandora-master-catalog/default/dwbb259ca6/productimages/singlepackshot/",LEFT(A1989,FIND("-",A1989&amp;"-")-1),"_RGB.png"))),"https://us.pandora.net/on/demandware.static/-/Sites-pandora-master-catalog/default/dwbb259ca6/productimages/singlepackshot/363167C01_RGB.png")</f>
        <v>https://us.pandora.net/on/demandware.static/-/Sites-pandora-master-catalog/default/dwbb259ca6/productimages/singlepackshot/363167C01_RGB.png</v>
      </c>
    </row>
    <row r="1990" spans="1:4" x14ac:dyDescent="0.25">
      <c r="A1990" s="3" t="s">
        <v>1992</v>
      </c>
      <c r="B1990" s="4">
        <v>199</v>
      </c>
      <c r="C1990" s="3" t="str">
        <f ca="1">IFERROR(ROWSDUMMYFUNCTION(IF(A1990="","",IFERROR(IMAGE(CONCATENATE("https://us.pandora.net/on/demandware.static/-/Sites-pandora-master-catalog/default/dwbb259ca6/productimages/singlepackshot/",LEFT(A1990,FIND("-",A1990&amp;"-")-1),"_RGB.png")),""))),"{""url"":""https://us.pandora.net/on/demandware.static/-/Sites-pandora-master-catalog/default/dwbb259ca6/productimages/singlepackshot/363176C01_RGB.png"",""mode"":1}")</f>
        <v>{"url":"https://us.pandora.net/on/demandware.static/-/Sites-pandora-master-catalog/default/dwbb259ca6/productimages/singlepackshot/363176C01_RGB.png","mode":1}</v>
      </c>
      <c r="D1990" s="5" t="str">
        <f ca="1">IFERROR(ROWSDUMMYFUNCTION(IF(A1990="","",CONCATENATE("https://us.pandora.net/on/demandware.static/-/Sites-pandora-master-catalog/default/dwbb259ca6/productimages/singlepackshot/",LEFT(A1990,FIND("-",A1990&amp;"-")-1),"_RGB.png"))),"https://us.pandora.net/on/demandware.static/-/Sites-pandora-master-catalog/default/dwbb259ca6/productimages/singlepackshot/363176C01_RGB.png")</f>
        <v>https://us.pandora.net/on/demandware.static/-/Sites-pandora-master-catalog/default/dwbb259ca6/productimages/singlepackshot/363176C01_RGB.png</v>
      </c>
    </row>
    <row r="1991" spans="1:4" x14ac:dyDescent="0.25">
      <c r="A1991" s="3" t="s">
        <v>1993</v>
      </c>
      <c r="B1991" s="4">
        <v>129</v>
      </c>
      <c r="C1991" s="3" t="str">
        <f ca="1">IFERROR(ROWSDUMMYFUNCTION(IF(A1991="","",IFERROR(IMAGE(CONCATENATE("https://us.pandora.net/on/demandware.static/-/Sites-pandora-master-catalog/default/dwbb259ca6/productimages/singlepackshot/",LEFT(A1991,FIND("-",A1991&amp;"-")-1),"_RGB.png")),""))),"{""url"":""https://us.pandora.net/on/demandware.static/-/Sites-pandora-master-catalog/default/dwbb259ca6/productimages/singlepackshot/363255C00_RGB.png"",""mode"":1}")</f>
        <v>{"url":"https://us.pandora.net/on/demandware.static/-/Sites-pandora-master-catalog/default/dwbb259ca6/productimages/singlepackshot/363255C00_RGB.png","mode":1}</v>
      </c>
      <c r="D1991" s="5" t="str">
        <f ca="1">IFERROR(ROWSDUMMYFUNCTION(IF(A1991="","",CONCATENATE("https://us.pandora.net/on/demandware.static/-/Sites-pandora-master-catalog/default/dwbb259ca6/productimages/singlepackshot/",LEFT(A1991,FIND("-",A1991&amp;"-")-1),"_RGB.png"))),"https://us.pandora.net/on/demandware.static/-/Sites-pandora-master-catalog/default/dwbb259ca6/productimages/singlepackshot/363255C00_RGB.png")</f>
        <v>https://us.pandora.net/on/demandware.static/-/Sites-pandora-master-catalog/default/dwbb259ca6/productimages/singlepackshot/363255C00_RGB.png</v>
      </c>
    </row>
    <row r="1992" spans="1:4" x14ac:dyDescent="0.25">
      <c r="A1992" s="3" t="s">
        <v>1994</v>
      </c>
      <c r="B1992" s="4">
        <v>149</v>
      </c>
      <c r="C1992" s="3" t="str">
        <f ca="1">IFERROR(ROWSDUMMYFUNCTION(IF(A1992="","",IFERROR(IMAGE(CONCATENATE("https://us.pandora.net/on/demandware.static/-/Sites-pandora-master-catalog/default/dwbb259ca6/productimages/singlepackshot/",LEFT(A1992,FIND("-",A1992&amp;"-")-1),"_RGB.png")),""))),"{""url"":""https://us.pandora.net/on/demandware.static/-/Sites-pandora-master-catalog/default/dwbb259ca6/productimages/singlepackshot/363272C00_RGB.png"",""mode"":1}")</f>
        <v>{"url":"https://us.pandora.net/on/demandware.static/-/Sites-pandora-master-catalog/default/dwbb259ca6/productimages/singlepackshot/363272C00_RGB.png","mode":1}</v>
      </c>
      <c r="D1992" s="5" t="str">
        <f ca="1">IFERROR(ROWSDUMMYFUNCTION(IF(A1992="","",CONCATENATE("https://us.pandora.net/on/demandware.static/-/Sites-pandora-master-catalog/default/dwbb259ca6/productimages/singlepackshot/",LEFT(A1992,FIND("-",A1992&amp;"-")-1),"_RGB.png"))),"https://us.pandora.net/on/demandware.static/-/Sites-pandora-master-catalog/default/dwbb259ca6/productimages/singlepackshot/363272C00_RGB.png")</f>
        <v>https://us.pandora.net/on/demandware.static/-/Sites-pandora-master-catalog/default/dwbb259ca6/productimages/singlepackshot/363272C00_RGB.png</v>
      </c>
    </row>
    <row r="1993" spans="1:4" x14ac:dyDescent="0.25">
      <c r="A1993" s="3" t="s">
        <v>1995</v>
      </c>
      <c r="B1993" s="4">
        <v>279</v>
      </c>
      <c r="C1993" s="3" t="str">
        <f ca="1">IFERROR(ROWSDUMMYFUNCTION(IF(A1993="","",IFERROR(IMAGE(CONCATENATE("https://us.pandora.net/on/demandware.static/-/Sites-pandora-master-catalog/default/dwbb259ca6/productimages/singlepackshot/",LEFT(A1993,FIND("-",A1993&amp;"-")-1),"_RGB.png")),""))),"{""url"":""https://us.pandora.net/on/demandware.static/-/Sites-pandora-master-catalog/default/dwbb259ca6/productimages/singlepackshot/363297C01_RGB.png"",""mode"":1}")</f>
        <v>{"url":"https://us.pandora.net/on/demandware.static/-/Sites-pandora-master-catalog/default/dwbb259ca6/productimages/singlepackshot/363297C01_RGB.png","mode":1}</v>
      </c>
      <c r="D1993" s="5" t="str">
        <f ca="1">IFERROR(ROWSDUMMYFUNCTION(IF(A1993="","",CONCATENATE("https://us.pandora.net/on/demandware.static/-/Sites-pandora-master-catalog/default/dwbb259ca6/productimages/singlepackshot/",LEFT(A1993,FIND("-",A1993&amp;"-")-1),"_RGB.png"))),"https://us.pandora.net/on/demandware.static/-/Sites-pandora-master-catalog/default/dwbb259ca6/productimages/singlepackshot/363297C01_RGB.png")</f>
        <v>https://us.pandora.net/on/demandware.static/-/Sites-pandora-master-catalog/default/dwbb259ca6/productimages/singlepackshot/363297C01_RGB.png</v>
      </c>
    </row>
    <row r="1994" spans="1:4" x14ac:dyDescent="0.25">
      <c r="A1994" s="3" t="s">
        <v>1996</v>
      </c>
      <c r="B1994" s="4">
        <v>119</v>
      </c>
      <c r="C1994" s="3" t="str">
        <f ca="1">IFERROR(ROWSDUMMYFUNCTION(IF(A1994="","",IFERROR(IMAGE(CONCATENATE("https://us.pandora.net/on/demandware.static/-/Sites-pandora-master-catalog/default/dwbb259ca6/productimages/singlepackshot/",LEFT(A1994,FIND("-",A1994&amp;"-")-1),"_RGB.png")),""))),"{""url"":""https://us.pandora.net/on/demandware.static/-/Sites-pandora-master-catalog/default/dwbb259ca6/productimages/singlepackshot/363303C01_RGB.png"",""mode"":1}")</f>
        <v>{"url":"https://us.pandora.net/on/demandware.static/-/Sites-pandora-master-catalog/default/dwbb259ca6/productimages/singlepackshot/363303C01_RGB.png","mode":1}</v>
      </c>
      <c r="D1994" s="5" t="str">
        <f ca="1">IFERROR(ROWSDUMMYFUNCTION(IF(A1994="","",CONCATENATE("https://us.pandora.net/on/demandware.static/-/Sites-pandora-master-catalog/default/dwbb259ca6/productimages/singlepackshot/",LEFT(A1994,FIND("-",A1994&amp;"-")-1),"_RGB.png"))),"https://us.pandora.net/on/demandware.static/-/Sites-pandora-master-catalog/default/dwbb259ca6/productimages/singlepackshot/363303C01_RGB.png")</f>
        <v>https://us.pandora.net/on/demandware.static/-/Sites-pandora-master-catalog/default/dwbb259ca6/productimages/singlepackshot/363303C01_RGB.png</v>
      </c>
    </row>
    <row r="1995" spans="1:4" x14ac:dyDescent="0.25">
      <c r="A1995" s="3" t="s">
        <v>1997</v>
      </c>
      <c r="B1995" s="4">
        <v>379</v>
      </c>
      <c r="C1995" s="3" t="str">
        <f ca="1">IFERROR(ROWSDUMMYFUNCTION(IF(A1995="","",IFERROR(IMAGE(CONCATENATE("https://us.pandora.net/on/demandware.static/-/Sites-pandora-master-catalog/default/dwbb259ca6/productimages/singlepackshot/",LEFT(A1995,FIND("-",A1995&amp;"-")-1),"_RGB.png")),""))),"{""url"":""https://us.pandora.net/on/demandware.static/-/Sites-pandora-master-catalog/default/dwbb259ca6/productimages/singlepackshot/363305C01_RGB.png"",""mode"":1}")</f>
        <v>{"url":"https://us.pandora.net/on/demandware.static/-/Sites-pandora-master-catalog/default/dwbb259ca6/productimages/singlepackshot/363305C01_RGB.png","mode":1}</v>
      </c>
      <c r="D1995" s="5" t="str">
        <f ca="1">IFERROR(ROWSDUMMYFUNCTION(IF(A1995="","",CONCATENATE("https://us.pandora.net/on/demandware.static/-/Sites-pandora-master-catalog/default/dwbb259ca6/productimages/singlepackshot/",LEFT(A1995,FIND("-",A1995&amp;"-")-1),"_RGB.png"))),"https://us.pandora.net/on/demandware.static/-/Sites-pandora-master-catalog/default/dwbb259ca6/productimages/singlepackshot/363305C01_RGB.png")</f>
        <v>https://us.pandora.net/on/demandware.static/-/Sites-pandora-master-catalog/default/dwbb259ca6/productimages/singlepackshot/363305C01_RGB.png</v>
      </c>
    </row>
    <row r="1996" spans="1:4" x14ac:dyDescent="0.25">
      <c r="A1996" s="3" t="s">
        <v>1998</v>
      </c>
      <c r="B1996" s="4">
        <v>99</v>
      </c>
      <c r="C1996" s="3" t="str">
        <f ca="1">IFERROR(ROWSDUMMYFUNCTION(IF(A1996="","",IFERROR(IMAGE(CONCATENATE("https://us.pandora.net/on/demandware.static/-/Sites-pandora-master-catalog/default/dwbb259ca6/productimages/singlepackshot/",LEFT(A1996,FIND("-",A1996&amp;"-")-1),"_RGB.png")),""))),"{""url"":""https://us.pandora.net/on/demandware.static/-/Sites-pandora-master-catalog/default/dwbb259ca6/productimages/singlepackshot/363334C00_RGB.png"",""mode"":1}")</f>
        <v>{"url":"https://us.pandora.net/on/demandware.static/-/Sites-pandora-master-catalog/default/dwbb259ca6/productimages/singlepackshot/363334C00_RGB.png","mode":1}</v>
      </c>
      <c r="D1996" s="5" t="str">
        <f ca="1">IFERROR(ROWSDUMMYFUNCTION(IF(A1996="","",CONCATENATE("https://us.pandora.net/on/demandware.static/-/Sites-pandora-master-catalog/default/dwbb259ca6/productimages/singlepackshot/",LEFT(A1996,FIND("-",A1996&amp;"-")-1),"_RGB.png"))),"https://us.pandora.net/on/demandware.static/-/Sites-pandora-master-catalog/default/dwbb259ca6/productimages/singlepackshot/363334C00_RGB.png")</f>
        <v>https://us.pandora.net/on/demandware.static/-/Sites-pandora-master-catalog/default/dwbb259ca6/productimages/singlepackshot/363334C00_RGB.png</v>
      </c>
    </row>
    <row r="1997" spans="1:4" x14ac:dyDescent="0.25">
      <c r="A1997" s="3" t="s">
        <v>1999</v>
      </c>
      <c r="B1997" s="4">
        <v>99</v>
      </c>
      <c r="C1997" s="3" t="str">
        <f ca="1">IFERROR(ROWSDUMMYFUNCTION(IF(A1997="","",IFERROR(IMAGE(CONCATENATE("https://us.pandora.net/on/demandware.static/-/Sites-pandora-master-catalog/default/dwbb259ca6/productimages/singlepackshot/",LEFT(A1997,FIND("-",A1997&amp;"-")-1),"_RGB.png")),""))),"{""url"":""https://us.pandora.net/on/demandware.static/-/Sites-pandora-master-catalog/default/dwbb259ca6/productimages/singlepackshot/363416C00_RGB.png"",""mode"":1}")</f>
        <v>{"url":"https://us.pandora.net/on/demandware.static/-/Sites-pandora-master-catalog/default/dwbb259ca6/productimages/singlepackshot/363416C00_RGB.png","mode":1}</v>
      </c>
      <c r="D1997" s="5" t="str">
        <f ca="1">IFERROR(ROWSDUMMYFUNCTION(IF(A1997="","",CONCATENATE("https://us.pandora.net/on/demandware.static/-/Sites-pandora-master-catalog/default/dwbb259ca6/productimages/singlepackshot/",LEFT(A1997,FIND("-",A1997&amp;"-")-1),"_RGB.png"))),"https://us.pandora.net/on/demandware.static/-/Sites-pandora-master-catalog/default/dwbb259ca6/productimages/singlepackshot/363416C00_RGB.png")</f>
        <v>https://us.pandora.net/on/demandware.static/-/Sites-pandora-master-catalog/default/dwbb259ca6/productimages/singlepackshot/363416C00_RGB.png</v>
      </c>
    </row>
    <row r="1998" spans="1:4" x14ac:dyDescent="0.25">
      <c r="A1998" s="3" t="s">
        <v>2000</v>
      </c>
      <c r="B1998" s="4">
        <v>179</v>
      </c>
      <c r="C1998" s="3" t="str">
        <f ca="1">IFERROR(ROWSDUMMYFUNCTION(IF(A1998="","",IFERROR(IMAGE(CONCATENATE("https://us.pandora.net/on/demandware.static/-/Sites-pandora-master-catalog/default/dwbb259ca6/productimages/singlepackshot/",LEFT(A1998,FIND("-",A1998&amp;"-")-1),"_RGB.png")),""))),"{""url"":""https://us.pandora.net/on/demandware.static/-/Sites-pandora-master-catalog/default/dwbb259ca6/productimages/singlepackshot/363508C01_RGB.png"",""mode"":1}")</f>
        <v>{"url":"https://us.pandora.net/on/demandware.static/-/Sites-pandora-master-catalog/default/dwbb259ca6/productimages/singlepackshot/363508C01_RGB.png","mode":1}</v>
      </c>
      <c r="D1998" s="5" t="str">
        <f ca="1">IFERROR(ROWSDUMMYFUNCTION(IF(A1998="","",CONCATENATE("https://us.pandora.net/on/demandware.static/-/Sites-pandora-master-catalog/default/dwbb259ca6/productimages/singlepackshot/",LEFT(A1998,FIND("-",A1998&amp;"-")-1),"_RGB.png"))),"https://us.pandora.net/on/demandware.static/-/Sites-pandora-master-catalog/default/dwbb259ca6/productimages/singlepackshot/363508C01_RGB.png")</f>
        <v>https://us.pandora.net/on/demandware.static/-/Sites-pandora-master-catalog/default/dwbb259ca6/productimages/singlepackshot/363508C01_RGB.png</v>
      </c>
    </row>
    <row r="1999" spans="1:4" x14ac:dyDescent="0.25">
      <c r="A1999" s="3" t="s">
        <v>2001</v>
      </c>
      <c r="B1999" s="4">
        <v>119</v>
      </c>
      <c r="C1999" s="3" t="str">
        <f ca="1">IFERROR(ROWSDUMMYFUNCTION(IF(A1999="","",IFERROR(IMAGE(CONCATENATE("https://us.pandora.net/on/demandware.static/-/Sites-pandora-master-catalog/default/dwbb259ca6/productimages/singlepackshot/",LEFT(A1999,FIND("-",A1999&amp;"-")-1),"_RGB.png")),""))),"{""url"":""https://us.pandora.net/on/demandware.static/-/Sites-pandora-master-catalog/default/dwbb259ca6/productimages/singlepackshot/363548C01_RGB.png"",""mode"":1}")</f>
        <v>{"url":"https://us.pandora.net/on/demandware.static/-/Sites-pandora-master-catalog/default/dwbb259ca6/productimages/singlepackshot/363548C01_RGB.png","mode":1}</v>
      </c>
      <c r="D1999" s="5" t="str">
        <f ca="1">IFERROR(ROWSDUMMYFUNCTION(IF(A1999="","",CONCATENATE("https://us.pandora.net/on/demandware.static/-/Sites-pandora-master-catalog/default/dwbb259ca6/productimages/singlepackshot/",LEFT(A1999,FIND("-",A1999&amp;"-")-1),"_RGB.png"))),"https://us.pandora.net/on/demandware.static/-/Sites-pandora-master-catalog/default/dwbb259ca6/productimages/singlepackshot/363548C01_RGB.png")</f>
        <v>https://us.pandora.net/on/demandware.static/-/Sites-pandora-master-catalog/default/dwbb259ca6/productimages/singlepackshot/363548C01_RGB.png</v>
      </c>
    </row>
    <row r="2000" spans="1:4" x14ac:dyDescent="0.25">
      <c r="A2000" s="3" t="s">
        <v>2002</v>
      </c>
      <c r="B2000" s="4">
        <v>259</v>
      </c>
      <c r="C2000" s="3" t="str">
        <f ca="1">IFERROR(ROWSDUMMYFUNCTION(IF(A2000="","",IFERROR(IMAGE(CONCATENATE("https://us.pandora.net/on/demandware.static/-/Sites-pandora-master-catalog/default/dwbb259ca6/productimages/singlepackshot/",LEFT(A2000,FIND("-",A2000&amp;"-")-1),"_RGB.png")),""))),"{""url"":""https://us.pandora.net/on/demandware.static/-/Sites-pandora-master-catalog/default/dwbb259ca6/productimages/singlepackshot/363881C00_RGB.png"",""mode"":1}")</f>
        <v>{"url":"https://us.pandora.net/on/demandware.static/-/Sites-pandora-master-catalog/default/dwbb259ca6/productimages/singlepackshot/363881C00_RGB.png","mode":1}</v>
      </c>
      <c r="D2000" s="5" t="str">
        <f ca="1">IFERROR(ROWSDUMMYFUNCTION(IF(A2000="","",CONCATENATE("https://us.pandora.net/on/demandware.static/-/Sites-pandora-master-catalog/default/dwbb259ca6/productimages/singlepackshot/",LEFT(A2000,FIND("-",A2000&amp;"-")-1),"_RGB.png"))),"https://us.pandora.net/on/demandware.static/-/Sites-pandora-master-catalog/default/dwbb259ca6/productimages/singlepackshot/363881C00_RGB.png")</f>
        <v>https://us.pandora.net/on/demandware.static/-/Sites-pandora-master-catalog/default/dwbb259ca6/productimages/singlepackshot/363881C00_RGB.png</v>
      </c>
    </row>
    <row r="2001" spans="1:4" x14ac:dyDescent="0.25">
      <c r="A2001" s="3" t="s">
        <v>2003</v>
      </c>
      <c r="B2001" s="4">
        <v>129</v>
      </c>
      <c r="C2001" s="3" t="str">
        <f ca="1">IFERROR(ROWSDUMMYFUNCTION(IF(A2001="","",IFERROR(IMAGE(CONCATENATE("https://us.pandora.net/on/demandware.static/-/Sites-pandora-master-catalog/default/dwbb259ca6/productimages/singlepackshot/",LEFT(A2001,FIND("-",A2001&amp;"-")-1),"_RGB.png")),""))),"{""url"":""https://us.pandora.net/on/demandware.static/-/Sites-pandora-master-catalog/default/dwbb259ca6/productimages/singlepackshot/363882C00_RGB.png"",""mode"":1}")</f>
        <v>{"url":"https://us.pandora.net/on/demandware.static/-/Sites-pandora-master-catalog/default/dwbb259ca6/productimages/singlepackshot/363882C00_RGB.png","mode":1}</v>
      </c>
      <c r="D2001" s="5" t="str">
        <f ca="1">IFERROR(ROWSDUMMYFUNCTION(IF(A2001="","",CONCATENATE("https://us.pandora.net/on/demandware.static/-/Sites-pandora-master-catalog/default/dwbb259ca6/productimages/singlepackshot/",LEFT(A2001,FIND("-",A2001&amp;"-")-1),"_RGB.png"))),"https://us.pandora.net/on/demandware.static/-/Sites-pandora-master-catalog/default/dwbb259ca6/productimages/singlepackshot/363882C00_RGB.png")</f>
        <v>https://us.pandora.net/on/demandware.static/-/Sites-pandora-master-catalog/default/dwbb259ca6/productimages/singlepackshot/363882C00_RGB.png</v>
      </c>
    </row>
    <row r="2002" spans="1:4" x14ac:dyDescent="0.25">
      <c r="A2002" s="3" t="s">
        <v>2004</v>
      </c>
      <c r="B2002" s="4">
        <v>149</v>
      </c>
      <c r="C2002" s="3" t="str">
        <f ca="1">IFERROR(ROWSDUMMYFUNCTION(IF(A2002="","",IFERROR(IMAGE(CONCATENATE("https://us.pandora.net/on/demandware.static/-/Sites-pandora-master-catalog/default/dwbb259ca6/productimages/singlepackshot/",LEFT(A2002,FIND("-",A2002&amp;"-")-1),"_RGB.png")),""))),"{""url"":""https://us.pandora.net/on/demandware.static/-/Sites-pandora-master-catalog/default/dwbb259ca6/productimages/singlepackshot/363883C01_RGB.png"",""mode"":1}")</f>
        <v>{"url":"https://us.pandora.net/on/demandware.static/-/Sites-pandora-master-catalog/default/dwbb259ca6/productimages/singlepackshot/363883C01_RGB.png","mode":1}</v>
      </c>
      <c r="D2002" s="5" t="str">
        <f ca="1">IFERROR(ROWSDUMMYFUNCTION(IF(A2002="","",CONCATENATE("https://us.pandora.net/on/demandware.static/-/Sites-pandora-master-catalog/default/dwbb259ca6/productimages/singlepackshot/",LEFT(A2002,FIND("-",A2002&amp;"-")-1),"_RGB.png"))),"https://us.pandora.net/on/demandware.static/-/Sites-pandora-master-catalog/default/dwbb259ca6/productimages/singlepackshot/363883C01_RGB.png")</f>
        <v>https://us.pandora.net/on/demandware.static/-/Sites-pandora-master-catalog/default/dwbb259ca6/productimages/singlepackshot/363883C01_RGB.png</v>
      </c>
    </row>
    <row r="2003" spans="1:4" x14ac:dyDescent="0.25">
      <c r="A2003" s="3" t="s">
        <v>2005</v>
      </c>
      <c r="B2003" s="4">
        <v>89</v>
      </c>
      <c r="C2003" s="3" t="str">
        <f ca="1">IFERROR(ROWSDUMMYFUNCTION(IF(A2003="","",IFERROR(IMAGE(CONCATENATE("https://us.pandora.net/on/demandware.static/-/Sites-pandora-master-catalog/default/dwbb259ca6/productimages/singlepackshot/",LEFT(A2003,FIND("-",A2003&amp;"-")-1),"_RGB.png")),""))),"{""url"":""https://us.pandora.net/on/demandware.static/-/Sites-pandora-master-catalog/default/dwbb259ca6/productimages/singlepackshot/363899C00_RGB.png"",""mode"":1}")</f>
        <v>{"url":"https://us.pandora.net/on/demandware.static/-/Sites-pandora-master-catalog/default/dwbb259ca6/productimages/singlepackshot/363899C00_RGB.png","mode":1}</v>
      </c>
      <c r="D2003" s="5" t="str">
        <f ca="1">IFERROR(ROWSDUMMYFUNCTION(IF(A2003="","",CONCATENATE("https://us.pandora.net/on/demandware.static/-/Sites-pandora-master-catalog/default/dwbb259ca6/productimages/singlepackshot/",LEFT(A2003,FIND("-",A2003&amp;"-")-1),"_RGB.png"))),"https://us.pandora.net/on/demandware.static/-/Sites-pandora-master-catalog/default/dwbb259ca6/productimages/singlepackshot/363899C00_RGB.png")</f>
        <v>https://us.pandora.net/on/demandware.static/-/Sites-pandora-master-catalog/default/dwbb259ca6/productimages/singlepackshot/363899C00_RGB.png</v>
      </c>
    </row>
    <row r="2004" spans="1:4" x14ac:dyDescent="0.25">
      <c r="A2004" s="3" t="s">
        <v>2006</v>
      </c>
      <c r="B2004" s="4">
        <v>69</v>
      </c>
      <c r="C2004" s="3" t="str">
        <f ca="1">IFERROR(ROWSDUMMYFUNCTION(IF(A2004="","",IFERROR(IMAGE(CONCATENATE("https://us.pandora.net/on/demandware.static/-/Sites-pandora-master-catalog/default/dwbb259ca6/productimages/singlepackshot/",LEFT(A2004,FIND("-",A2004&amp;"-")-1),"_RGB.png")),""))),"{""url"":""https://us.pandora.net/on/demandware.static/-/Sites-pandora-master-catalog/default/dwbb259ca6/productimages/singlepackshot/364007C01_RGB.png"",""mode"":1}")</f>
        <v>{"url":"https://us.pandora.net/on/demandware.static/-/Sites-pandora-master-catalog/default/dwbb259ca6/productimages/singlepackshot/364007C01_RGB.png","mode":1}</v>
      </c>
      <c r="D2004" s="5" t="str">
        <f ca="1">IFERROR(ROWSDUMMYFUNCTION(IF(A2004="","",CONCATENATE("https://us.pandora.net/on/demandware.static/-/Sites-pandora-master-catalog/default/dwbb259ca6/productimages/singlepackshot/",LEFT(A2004,FIND("-",A2004&amp;"-")-1),"_RGB.png"))),"https://us.pandora.net/on/demandware.static/-/Sites-pandora-master-catalog/default/dwbb259ca6/productimages/singlepackshot/364007C01_RGB.png")</f>
        <v>https://us.pandora.net/on/demandware.static/-/Sites-pandora-master-catalog/default/dwbb259ca6/productimages/singlepackshot/364007C01_RGB.png</v>
      </c>
    </row>
    <row r="2005" spans="1:4" x14ac:dyDescent="0.25">
      <c r="A2005" s="3" t="s">
        <v>2007</v>
      </c>
      <c r="B2005" s="4">
        <v>69</v>
      </c>
      <c r="C2005" s="3" t="str">
        <f ca="1">IFERROR(ROWSDUMMYFUNCTION(IF(A2005="","",IFERROR(IMAGE(CONCATENATE("https://us.pandora.net/on/demandware.static/-/Sites-pandora-master-catalog/default/dwbb259ca6/productimages/singlepackshot/",LEFT(A2005,FIND("-",A2005&amp;"-")-1),"_RGB.png")),""))),"{""url"":""https://us.pandora.net/on/demandware.static/-/Sites-pandora-master-catalog/default/dwbb259ca6/productimages/singlepackshot/364009C01_RGB.png"",""mode"":1}")</f>
        <v>{"url":"https://us.pandora.net/on/demandware.static/-/Sites-pandora-master-catalog/default/dwbb259ca6/productimages/singlepackshot/364009C01_RGB.png","mode":1}</v>
      </c>
      <c r="D2005" s="5" t="str">
        <f ca="1">IFERROR(ROWSDUMMYFUNCTION(IF(A2005="","",CONCATENATE("https://us.pandora.net/on/demandware.static/-/Sites-pandora-master-catalog/default/dwbb259ca6/productimages/singlepackshot/",LEFT(A2005,FIND("-",A2005&amp;"-")-1),"_RGB.png"))),"https://us.pandora.net/on/demandware.static/-/Sites-pandora-master-catalog/default/dwbb259ca6/productimages/singlepackshot/364009C01_RGB.png")</f>
        <v>https://us.pandora.net/on/demandware.static/-/Sites-pandora-master-catalog/default/dwbb259ca6/productimages/singlepackshot/364009C01_RGB.png</v>
      </c>
    </row>
    <row r="2006" spans="1:4" x14ac:dyDescent="0.25">
      <c r="A2006" s="3" t="s">
        <v>2008</v>
      </c>
      <c r="B2006" s="4">
        <v>69</v>
      </c>
      <c r="C2006" s="3" t="str">
        <f ca="1">IFERROR(ROWSDUMMYFUNCTION(IF(A2006="","",IFERROR(IMAGE(CONCATENATE("https://us.pandora.net/on/demandware.static/-/Sites-pandora-master-catalog/default/dwbb259ca6/productimages/singlepackshot/",LEFT(A2006,FIND("-",A2006&amp;"-")-1),"_RGB.png")),""))),"{""url"":""https://us.pandora.net/on/demandware.static/-/Sites-pandora-master-catalog/default/dwbb259ca6/productimages/singlepackshot/364015C00_RGB.png"",""mode"":1}")</f>
        <v>{"url":"https://us.pandora.net/on/demandware.static/-/Sites-pandora-master-catalog/default/dwbb259ca6/productimages/singlepackshot/364015C00_RGB.png","mode":1}</v>
      </c>
      <c r="D2006" s="5" t="str">
        <f ca="1">IFERROR(ROWSDUMMYFUNCTION(IF(A2006="","",CONCATENATE("https://us.pandora.net/on/demandware.static/-/Sites-pandora-master-catalog/default/dwbb259ca6/productimages/singlepackshot/",LEFT(A2006,FIND("-",A2006&amp;"-")-1),"_RGB.png"))),"https://us.pandora.net/on/demandware.static/-/Sites-pandora-master-catalog/default/dwbb259ca6/productimages/singlepackshot/364015C00_RGB.png")</f>
        <v>https://us.pandora.net/on/demandware.static/-/Sites-pandora-master-catalog/default/dwbb259ca6/productimages/singlepackshot/364015C00_RGB.png</v>
      </c>
    </row>
    <row r="2007" spans="1:4" x14ac:dyDescent="0.25">
      <c r="A2007" s="3" t="s">
        <v>2009</v>
      </c>
      <c r="B2007" s="4">
        <v>99</v>
      </c>
      <c r="C2007" s="3" t="str">
        <f ca="1">IFERROR(ROWSDUMMYFUNCTION(IF(A2007="","",IFERROR(IMAGE(CONCATENATE("https://us.pandora.net/on/demandware.static/-/Sites-pandora-master-catalog/default/dwbb259ca6/productimages/singlepackshot/",LEFT(A2007,FIND("-",A2007&amp;"-")-1),"_RGB.png")),""))),"{""url"":""https://us.pandora.net/on/demandware.static/-/Sites-pandora-master-catalog/default/dwbb259ca6/productimages/singlepackshot/364016C00_RGB.png"",""mode"":1}")</f>
        <v>{"url":"https://us.pandora.net/on/demandware.static/-/Sites-pandora-master-catalog/default/dwbb259ca6/productimages/singlepackshot/364016C00_RGB.png","mode":1}</v>
      </c>
      <c r="D2007" s="5" t="str">
        <f ca="1">IFERROR(ROWSDUMMYFUNCTION(IF(A2007="","",CONCATENATE("https://us.pandora.net/on/demandware.static/-/Sites-pandora-master-catalog/default/dwbb259ca6/productimages/singlepackshot/",LEFT(A2007,FIND("-",A2007&amp;"-")-1),"_RGB.png"))),"https://us.pandora.net/on/demandware.static/-/Sites-pandora-master-catalog/default/dwbb259ca6/productimages/singlepackshot/364016C00_RGB.png")</f>
        <v>https://us.pandora.net/on/demandware.static/-/Sites-pandora-master-catalog/default/dwbb259ca6/productimages/singlepackshot/364016C00_RGB.png</v>
      </c>
    </row>
    <row r="2008" spans="1:4" x14ac:dyDescent="0.25">
      <c r="A2008" s="3" t="s">
        <v>2010</v>
      </c>
      <c r="B2008" s="4">
        <v>179</v>
      </c>
      <c r="C2008" s="3" t="str">
        <f ca="1">IFERROR(ROWSDUMMYFUNCTION(IF(A2008="","",IFERROR(IMAGE(CONCATENATE("https://us.pandora.net/on/demandware.static/-/Sites-pandora-master-catalog/default/dwbb259ca6/productimages/singlepackshot/",LEFT(A2008,FIND("-",A2008&amp;"-")-1),"_RGB.png")),""))),"{""url"":""https://us.pandora.net/on/demandware.static/-/Sites-pandora-master-catalog/default/dwbb259ca6/productimages/singlepackshot/364083C00_RGB.png"",""mode"":1}")</f>
        <v>{"url":"https://us.pandora.net/on/demandware.static/-/Sites-pandora-master-catalog/default/dwbb259ca6/productimages/singlepackshot/364083C00_RGB.png","mode":1}</v>
      </c>
      <c r="D2008" s="5" t="str">
        <f ca="1">IFERROR(ROWSDUMMYFUNCTION(IF(A2008="","",CONCATENATE("https://us.pandora.net/on/demandware.static/-/Sites-pandora-master-catalog/default/dwbb259ca6/productimages/singlepackshot/",LEFT(A2008,FIND("-",A2008&amp;"-")-1),"_RGB.png"))),"https://us.pandora.net/on/demandware.static/-/Sites-pandora-master-catalog/default/dwbb259ca6/productimages/singlepackshot/364083C00_RGB.png")</f>
        <v>https://us.pandora.net/on/demandware.static/-/Sites-pandora-master-catalog/default/dwbb259ca6/productimages/singlepackshot/364083C00_RGB.png</v>
      </c>
    </row>
    <row r="2009" spans="1:4" x14ac:dyDescent="0.25">
      <c r="A2009" s="3" t="s">
        <v>2011</v>
      </c>
      <c r="B2009" s="4">
        <v>129</v>
      </c>
      <c r="C2009" s="3" t="str">
        <f ca="1">IFERROR(ROWSDUMMYFUNCTION(IF(A2009="","",IFERROR(IMAGE(CONCATENATE("https://us.pandora.net/on/demandware.static/-/Sites-pandora-master-catalog/default/dwbb259ca6/productimages/singlepackshot/",LEFT(A2009,FIND("-",A2009&amp;"-")-1),"_RGB.png")),""))),"{""url"":""https://us.pandora.net/on/demandware.static/-/Sites-pandora-master-catalog/default/dwbb259ca6/productimages/singlepackshot/364267C01_RGB.png"",""mode"":1}")</f>
        <v>{"url":"https://us.pandora.net/on/demandware.static/-/Sites-pandora-master-catalog/default/dwbb259ca6/productimages/singlepackshot/364267C01_RGB.png","mode":1}</v>
      </c>
      <c r="D2009" s="5" t="str">
        <f ca="1">IFERROR(ROWSDUMMYFUNCTION(IF(A2009="","",CONCATENATE("https://us.pandora.net/on/demandware.static/-/Sites-pandora-master-catalog/default/dwbb259ca6/productimages/singlepackshot/",LEFT(A2009,FIND("-",A2009&amp;"-")-1),"_RGB.png"))),"https://us.pandora.net/on/demandware.static/-/Sites-pandora-master-catalog/default/dwbb259ca6/productimages/singlepackshot/364267C01_RGB.png")</f>
        <v>https://us.pandora.net/on/demandware.static/-/Sites-pandora-master-catalog/default/dwbb259ca6/productimages/singlepackshot/364267C01_RGB.png</v>
      </c>
    </row>
    <row r="2010" spans="1:4" x14ac:dyDescent="0.25">
      <c r="A2010" s="3" t="s">
        <v>2012</v>
      </c>
      <c r="B2010" s="4">
        <v>149</v>
      </c>
      <c r="C2010" s="3" t="str">
        <f ca="1">IFERROR(ROWSDUMMYFUNCTION(IF(A2010="","",IFERROR(IMAGE(CONCATENATE("https://us.pandora.net/on/demandware.static/-/Sites-pandora-master-catalog/default/dwbb259ca6/productimages/singlepackshot/",LEFT(A2010,FIND("-",A2010&amp;"-")-1),"_RGB.png")),""))),"{""url"":""https://us.pandora.net/on/demandware.static/-/Sites-pandora-master-catalog/default/dwbb259ca6/productimages/singlepackshot/367436C01_RGB.png"",""mode"":1}")</f>
        <v>{"url":"https://us.pandora.net/on/demandware.static/-/Sites-pandora-master-catalog/default/dwbb259ca6/productimages/singlepackshot/367436C01_RGB.png","mode":1}</v>
      </c>
      <c r="D2010" s="5" t="str">
        <f ca="1">IFERROR(ROWSDUMMYFUNCTION(IF(A2010="","",CONCATENATE("https://us.pandora.net/on/demandware.static/-/Sites-pandora-master-catalog/default/dwbb259ca6/productimages/singlepackshot/",LEFT(A2010,FIND("-",A2010&amp;"-")-1),"_RGB.png"))),"https://us.pandora.net/on/demandware.static/-/Sites-pandora-master-catalog/default/dwbb259ca6/productimages/singlepackshot/367436C01_RGB.png")</f>
        <v>https://us.pandora.net/on/demandware.static/-/Sites-pandora-master-catalog/default/dwbb259ca6/productimages/singlepackshot/367436C01_RGB.png</v>
      </c>
    </row>
    <row r="2011" spans="1:4" x14ac:dyDescent="0.25">
      <c r="A2011" s="3" t="s">
        <v>2013</v>
      </c>
      <c r="B2011" s="4">
        <v>149</v>
      </c>
      <c r="C2011" s="3" t="str">
        <f ca="1">IFERROR(ROWSDUMMYFUNCTION(IF(A2011="","",IFERROR(IMAGE(CONCATENATE("https://us.pandora.net/on/demandware.static/-/Sites-pandora-master-catalog/default/dwbb259ca6/productimages/singlepackshot/",LEFT(A2011,FIND("-",A2011&amp;"-")-1),"_RGB.png")),""))),"{""url"":""https://us.pandora.net/on/demandware.static/-/Sites-pandora-master-catalog/default/dwbb259ca6/productimages/singlepackshot/368425C01_RGB.png"",""mode"":1}")</f>
        <v>{"url":"https://us.pandora.net/on/demandware.static/-/Sites-pandora-master-catalog/default/dwbb259ca6/productimages/singlepackshot/368425C01_RGB.png","mode":1}</v>
      </c>
      <c r="D2011" s="5" t="str">
        <f ca="1">IFERROR(ROWSDUMMYFUNCTION(IF(A2011="","",CONCATENATE("https://us.pandora.net/on/demandware.static/-/Sites-pandora-master-catalog/default/dwbb259ca6/productimages/singlepackshot/",LEFT(A2011,FIND("-",A2011&amp;"-")-1),"_RGB.png"))),"https://us.pandora.net/on/demandware.static/-/Sites-pandora-master-catalog/default/dwbb259ca6/productimages/singlepackshot/368425C01_RGB.png")</f>
        <v>https://us.pandora.net/on/demandware.static/-/Sites-pandora-master-catalog/default/dwbb259ca6/productimages/singlepackshot/368425C01_RGB.png</v>
      </c>
    </row>
    <row r="2012" spans="1:4" x14ac:dyDescent="0.25">
      <c r="A2012" s="3" t="s">
        <v>2014</v>
      </c>
      <c r="B2012" s="4">
        <v>159</v>
      </c>
      <c r="C2012" s="3" t="str">
        <f ca="1">IFERROR(ROWSDUMMYFUNCTION(IF(A2012="","",IFERROR(IMAGE(CONCATENATE("https://us.pandora.net/on/demandware.static/-/Sites-pandora-master-catalog/default/dwbb259ca6/productimages/singlepackshot/",LEFT(A2012,FIND("-",A2012&amp;"-")-1),"_RGB.png")),""))),"{""url"":""https://us.pandora.net/on/demandware.static/-/Sites-pandora-master-catalog/default/dwbb259ca6/productimages/singlepackshot/368425C02_RGB.png"",""mode"":1}")</f>
        <v>{"url":"https://us.pandora.net/on/demandware.static/-/Sites-pandora-master-catalog/default/dwbb259ca6/productimages/singlepackshot/368425C02_RGB.png","mode":1}</v>
      </c>
      <c r="D2012" s="5" t="str">
        <f ca="1">IFERROR(ROWSDUMMYFUNCTION(IF(A2012="","",CONCATENATE("https://us.pandora.net/on/demandware.static/-/Sites-pandora-master-catalog/default/dwbb259ca6/productimages/singlepackshot/",LEFT(A2012,FIND("-",A2012&amp;"-")-1),"_RGB.png"))),"https://us.pandora.net/on/demandware.static/-/Sites-pandora-master-catalog/default/dwbb259ca6/productimages/singlepackshot/368425C02_RGB.png")</f>
        <v>https://us.pandora.net/on/demandware.static/-/Sites-pandora-master-catalog/default/dwbb259ca6/productimages/singlepackshot/368425C02_RGB.png</v>
      </c>
    </row>
    <row r="2013" spans="1:4" x14ac:dyDescent="0.25">
      <c r="A2013" s="3" t="s">
        <v>2015</v>
      </c>
      <c r="B2013" s="4">
        <v>49</v>
      </c>
      <c r="C2013" s="3" t="str">
        <f ca="1">IFERROR(ROWSDUMMYFUNCTION(IF(A2013="","",IFERROR(IMAGE(CONCATENATE("https://us.pandora.net/on/demandware.static/-/Sites-pandora-master-catalog/default/dwbb259ca6/productimages/singlepackshot/",LEFT(A2013,FIND("-",A2013&amp;"-")-1),"_RGB.png")),""))),"{""url"":""https://us.pandora.net/on/demandware.static/-/Sites-pandora-master-catalog/default/dwbb259ca6/productimages/singlepackshot/368610C00_RGB.png"",""mode"":1}")</f>
        <v>{"url":"https://us.pandora.net/on/demandware.static/-/Sites-pandora-master-catalog/default/dwbb259ca6/productimages/singlepackshot/368610C00_RGB.png","mode":1}</v>
      </c>
      <c r="D2013" s="5" t="str">
        <f ca="1">IFERROR(ROWSDUMMYFUNCTION(IF(A2013="","",CONCATENATE("https://us.pandora.net/on/demandware.static/-/Sites-pandora-master-catalog/default/dwbb259ca6/productimages/singlepackshot/",LEFT(A2013,FIND("-",A2013&amp;"-")-1),"_RGB.png"))),"https://us.pandora.net/on/demandware.static/-/Sites-pandora-master-catalog/default/dwbb259ca6/productimages/singlepackshot/368610C00_RGB.png")</f>
        <v>https://us.pandora.net/on/demandware.static/-/Sites-pandora-master-catalog/default/dwbb259ca6/productimages/singlepackshot/368610C00_RGB.png</v>
      </c>
    </row>
    <row r="2014" spans="1:4" x14ac:dyDescent="0.25">
      <c r="A2014" s="3" t="s">
        <v>2016</v>
      </c>
      <c r="B2014" s="4">
        <v>49</v>
      </c>
      <c r="C2014" s="3" t="str">
        <f ca="1">IFERROR(ROWSDUMMYFUNCTION(IF(A2014="","",IFERROR(IMAGE(CONCATENATE("https://us.pandora.net/on/demandware.static/-/Sites-pandora-master-catalog/default/dwbb259ca6/productimages/singlepackshot/",LEFT(A2014,FIND("-",A2014&amp;"-")-1),"_RGB.png")),""))),"{""url"":""https://us.pandora.net/on/demandware.static/-/Sites-pandora-master-catalog/default/dwbb259ca6/productimages/singlepackshot/368611C00_RGB.png"",""mode"":1}")</f>
        <v>{"url":"https://us.pandora.net/on/demandware.static/-/Sites-pandora-master-catalog/default/dwbb259ca6/productimages/singlepackshot/368611C00_RGB.png","mode":1}</v>
      </c>
      <c r="D2014" s="5" t="str">
        <f ca="1">IFERROR(ROWSDUMMYFUNCTION(IF(A2014="","",CONCATENATE("https://us.pandora.net/on/demandware.static/-/Sites-pandora-master-catalog/default/dwbb259ca6/productimages/singlepackshot/",LEFT(A2014,FIND("-",A2014&amp;"-")-1),"_RGB.png"))),"https://us.pandora.net/on/demandware.static/-/Sites-pandora-master-catalog/default/dwbb259ca6/productimages/singlepackshot/368611C00_RGB.png")</f>
        <v>https://us.pandora.net/on/demandware.static/-/Sites-pandora-master-catalog/default/dwbb259ca6/productimages/singlepackshot/368611C00_RGB.png</v>
      </c>
    </row>
    <row r="2015" spans="1:4" x14ac:dyDescent="0.25">
      <c r="A2015" s="3" t="s">
        <v>2017</v>
      </c>
      <c r="B2015" s="4">
        <v>149</v>
      </c>
      <c r="C2015" s="3" t="str">
        <f ca="1">IFERROR(ROWSDUMMYFUNCTION(IF(A2015="","",IFERROR(IMAGE(CONCATENATE("https://us.pandora.net/on/demandware.static/-/Sites-pandora-master-catalog/default/dwbb259ca6/productimages/singlepackshot/",LEFT(A2015,FIND("-",A2015&amp;"-")-1),"_RGB.png")),""))),"{""url"":""https://us.pandora.net/on/demandware.static/-/Sites-pandora-master-catalog/default/dwbb259ca6/productimages/singlepackshot/368638C00_RGB.png"",""mode"":1}")</f>
        <v>{"url":"https://us.pandora.net/on/demandware.static/-/Sites-pandora-master-catalog/default/dwbb259ca6/productimages/singlepackshot/368638C00_RGB.png","mode":1}</v>
      </c>
      <c r="D2015" s="5" t="str">
        <f ca="1">IFERROR(ROWSDUMMYFUNCTION(IF(A2015="","",CONCATENATE("https://us.pandora.net/on/demandware.static/-/Sites-pandora-master-catalog/default/dwbb259ca6/productimages/singlepackshot/",LEFT(A2015,FIND("-",A2015&amp;"-")-1),"_RGB.png"))),"https://us.pandora.net/on/demandware.static/-/Sites-pandora-master-catalog/default/dwbb259ca6/productimages/singlepackshot/368638C00_RGB.png")</f>
        <v>https://us.pandora.net/on/demandware.static/-/Sites-pandora-master-catalog/default/dwbb259ca6/productimages/singlepackshot/368638C00_RGB.png</v>
      </c>
    </row>
    <row r="2016" spans="1:4" x14ac:dyDescent="0.25">
      <c r="A2016" s="3" t="s">
        <v>2018</v>
      </c>
      <c r="B2016" s="4">
        <v>99</v>
      </c>
      <c r="C2016" s="3" t="str">
        <f ca="1">IFERROR(ROWSDUMMYFUNCTION(IF(A2016="","",IFERROR(IMAGE(CONCATENATE("https://us.pandora.net/on/demandware.static/-/Sites-pandora-master-catalog/default/dwbb259ca6/productimages/singlepackshot/",LEFT(A2016,FIND("-",A2016&amp;"-")-1),"_RGB.png")),""))),"{""url"":""https://us.pandora.net/on/demandware.static/-/Sites-pandora-master-catalog/default/dwbb259ca6/productimages/singlepackshot/368727C00_RGB.png"",""mode"":1}")</f>
        <v>{"url":"https://us.pandora.net/on/demandware.static/-/Sites-pandora-master-catalog/default/dwbb259ca6/productimages/singlepackshot/368727C00_RGB.png","mode":1}</v>
      </c>
      <c r="D2016" s="5" t="str">
        <f ca="1">IFERROR(ROWSDUMMYFUNCTION(IF(A2016="","",CONCATENATE("https://us.pandora.net/on/demandware.static/-/Sites-pandora-master-catalog/default/dwbb259ca6/productimages/singlepackshot/",LEFT(A2016,FIND("-",A2016&amp;"-")-1),"_RGB.png"))),"https://us.pandora.net/on/demandware.static/-/Sites-pandora-master-catalog/default/dwbb259ca6/productimages/singlepackshot/368727C00_RGB.png")</f>
        <v>https://us.pandora.net/on/demandware.static/-/Sites-pandora-master-catalog/default/dwbb259ca6/productimages/singlepackshot/368727C00_RGB.png</v>
      </c>
    </row>
    <row r="2017" spans="1:4" x14ac:dyDescent="0.25">
      <c r="A2017" s="3" t="s">
        <v>2019</v>
      </c>
      <c r="B2017" s="4">
        <v>129</v>
      </c>
      <c r="C2017" s="3" t="str">
        <f ca="1">IFERROR(ROWSDUMMYFUNCTION(IF(A2017="","",IFERROR(IMAGE(CONCATENATE("https://us.pandora.net/on/demandware.static/-/Sites-pandora-master-catalog/default/dwbb259ca6/productimages/singlepackshot/",LEFT(A2017,FIND("-",A2017&amp;"-")-1),"_RGB.png")),""))),"{""url"":""https://us.pandora.net/on/demandware.static/-/Sites-pandora-master-catalog/default/dwbb259ca6/productimages/singlepackshot/368821C01_RGB.png"",""mode"":1}")</f>
        <v>{"url":"https://us.pandora.net/on/demandware.static/-/Sites-pandora-master-catalog/default/dwbb259ca6/productimages/singlepackshot/368821C01_RGB.png","mode":1}</v>
      </c>
      <c r="D2017" s="5" t="str">
        <f ca="1">IFERROR(ROWSDUMMYFUNCTION(IF(A2017="","",CONCATENATE("https://us.pandora.net/on/demandware.static/-/Sites-pandora-master-catalog/default/dwbb259ca6/productimages/singlepackshot/",LEFT(A2017,FIND("-",A2017&amp;"-")-1),"_RGB.png"))),"https://us.pandora.net/on/demandware.static/-/Sites-pandora-master-catalog/default/dwbb259ca6/productimages/singlepackshot/368821C01_RGB.png")</f>
        <v>https://us.pandora.net/on/demandware.static/-/Sites-pandora-master-catalog/default/dwbb259ca6/productimages/singlepackshot/368821C01_RGB.png</v>
      </c>
    </row>
    <row r="2018" spans="1:4" x14ac:dyDescent="0.25">
      <c r="A2018" s="3" t="s">
        <v>2020</v>
      </c>
      <c r="B2018" s="4">
        <v>149</v>
      </c>
      <c r="C2018" s="3" t="str">
        <f ca="1">IFERROR(ROWSDUMMYFUNCTION(IF(A2018="","",IFERROR(IMAGE(CONCATENATE("https://us.pandora.net/on/demandware.static/-/Sites-pandora-master-catalog/default/dwbb259ca6/productimages/singlepackshot/",LEFT(A2018,FIND("-",A2018&amp;"-")-1),"_RGB.png")),""))),"{""url"":""https://us.pandora.net/on/demandware.static/-/Sites-pandora-master-catalog/default/dwbb259ca6/productimages/singlepackshot/369260C00_RGB.png"",""mode"":1}")</f>
        <v>{"url":"https://us.pandora.net/on/demandware.static/-/Sites-pandora-master-catalog/default/dwbb259ca6/productimages/singlepackshot/369260C00_RGB.png","mode":1}</v>
      </c>
      <c r="D2018" s="5" t="str">
        <f ca="1">IFERROR(ROWSDUMMYFUNCTION(IF(A2018="","",CONCATENATE("https://us.pandora.net/on/demandware.static/-/Sites-pandora-master-catalog/default/dwbb259ca6/productimages/singlepackshot/",LEFT(A2018,FIND("-",A2018&amp;"-")-1),"_RGB.png"))),"https://us.pandora.net/on/demandware.static/-/Sites-pandora-master-catalog/default/dwbb259ca6/productimages/singlepackshot/369260C00_RGB.png")</f>
        <v>https://us.pandora.net/on/demandware.static/-/Sites-pandora-master-catalog/default/dwbb259ca6/productimages/singlepackshot/369260C00_RGB.png</v>
      </c>
    </row>
    <row r="2019" spans="1:4" x14ac:dyDescent="0.25">
      <c r="A2019" s="3" t="s">
        <v>2021</v>
      </c>
      <c r="B2019" s="4">
        <v>219</v>
      </c>
      <c r="C2019" s="3" t="str">
        <f ca="1">IFERROR(ROWSDUMMYFUNCTION(IF(A2019="","",IFERROR(IMAGE(CONCATENATE("https://us.pandora.net/on/demandware.static/-/Sites-pandora-master-catalog/default/dwbb259ca6/productimages/singlepackshot/",LEFT(A2019,FIND("-",A2019&amp;"-")-1),"_RGB.png")),""))),"{""url"":""https://us.pandora.net/on/demandware.static/-/Sites-pandora-master-catalog/default/dwbb259ca6/productimages/singlepackshot/369685C00_RGB.png"",""mode"":1}")</f>
        <v>{"url":"https://us.pandora.net/on/demandware.static/-/Sites-pandora-master-catalog/default/dwbb259ca6/productimages/singlepackshot/369685C00_RGB.png","mode":1}</v>
      </c>
      <c r="D2019" s="5" t="str">
        <f ca="1">IFERROR(ROWSDUMMYFUNCTION(IF(A2019="","",CONCATENATE("https://us.pandora.net/on/demandware.static/-/Sites-pandora-master-catalog/default/dwbb259ca6/productimages/singlepackshot/",LEFT(A2019,FIND("-",A2019&amp;"-")-1),"_RGB.png"))),"https://us.pandora.net/on/demandware.static/-/Sites-pandora-master-catalog/default/dwbb259ca6/productimages/singlepackshot/369685C00_RGB.png")</f>
        <v>https://us.pandora.net/on/demandware.static/-/Sites-pandora-master-catalog/default/dwbb259ca6/productimages/singlepackshot/369685C00_RGB.png</v>
      </c>
    </row>
    <row r="2020" spans="1:4" x14ac:dyDescent="0.25">
      <c r="A2020" s="3" t="s">
        <v>2022</v>
      </c>
      <c r="B2020" s="4">
        <v>79</v>
      </c>
      <c r="C2020" s="3" t="str">
        <f ca="1">IFERROR(ROWSDUMMYFUNCTION(IF(A2020="","",IFERROR(IMAGE(CONCATENATE("https://us.pandora.net/on/demandware.static/-/Sites-pandora-master-catalog/default/dwbb259ca6/productimages/singlepackshot/",LEFT(A2020,FIND("-",A2020&amp;"-")-1),"_RGB.png")),""))),"{""url"":""https://us.pandora.net/on/demandware.static/-/Sites-pandora-master-catalog/default/dwbb259ca6/productimages/singlepackshot/380089C01_RGB.png"",""mode"":1}")</f>
        <v>{"url":"https://us.pandora.net/on/demandware.static/-/Sites-pandora-master-catalog/default/dwbb259ca6/productimages/singlepackshot/380089C01_RGB.png","mode":1}</v>
      </c>
      <c r="D2020" s="5" t="str">
        <f ca="1">IFERROR(ROWSDUMMYFUNCTION(IF(A2020="","",CONCATENATE("https://us.pandora.net/on/demandware.static/-/Sites-pandora-master-catalog/default/dwbb259ca6/productimages/singlepackshot/",LEFT(A2020,FIND("-",A2020&amp;"-")-1),"_RGB.png"))),"https://us.pandora.net/on/demandware.static/-/Sites-pandora-master-catalog/default/dwbb259ca6/productimages/singlepackshot/380089C01_RGB.png")</f>
        <v>https://us.pandora.net/on/demandware.static/-/Sites-pandora-master-catalog/default/dwbb259ca6/productimages/singlepackshot/380089C01_RGB.png</v>
      </c>
    </row>
    <row r="2021" spans="1:4" x14ac:dyDescent="0.25">
      <c r="A2021" s="3" t="s">
        <v>2023</v>
      </c>
      <c r="B2021" s="4">
        <v>279</v>
      </c>
      <c r="C2021" s="3" t="str">
        <f ca="1">IFERROR(ROWSDUMMYFUNCTION(IF(A2021="","",IFERROR(IMAGE(CONCATENATE("https://us.pandora.net/on/demandware.static/-/Sites-pandora-master-catalog/default/dwbb259ca6/productimages/singlepackshot/",LEFT(A2021,FIND("-",A2021&amp;"-")-1),"_RGB.png")),""))),"{""url"":""https://us.pandora.net/on/demandware.static/-/Sites-pandora-master-catalog/default/dwbb259ca6/productimages/singlepackshot/382234C00_RGB.png"",""mode"":1}")</f>
        <v>{"url":"https://us.pandora.net/on/demandware.static/-/Sites-pandora-master-catalog/default/dwbb259ca6/productimages/singlepackshot/382234C00_RGB.png","mode":1}</v>
      </c>
      <c r="D2021" s="5" t="str">
        <f ca="1">IFERROR(ROWSDUMMYFUNCTION(IF(A2021="","",CONCATENATE("https://us.pandora.net/on/demandware.static/-/Sites-pandora-master-catalog/default/dwbb259ca6/productimages/singlepackshot/",LEFT(A2021,FIND("-",A2021&amp;"-")-1),"_RGB.png"))),"https://us.pandora.net/on/demandware.static/-/Sites-pandora-master-catalog/default/dwbb259ca6/productimages/singlepackshot/382234C00_RGB.png")</f>
        <v>https://us.pandora.net/on/demandware.static/-/Sites-pandora-master-catalog/default/dwbb259ca6/productimages/singlepackshot/382234C00_RGB.png</v>
      </c>
    </row>
    <row r="2022" spans="1:4" x14ac:dyDescent="0.25">
      <c r="A2022" s="3" t="s">
        <v>2024</v>
      </c>
      <c r="B2022" s="4">
        <v>279</v>
      </c>
      <c r="C2022" s="3" t="str">
        <f ca="1">IFERROR(ROWSDUMMYFUNCTION(IF(A2022="","",IFERROR(IMAGE(CONCATENATE("https://us.pandora.net/on/demandware.static/-/Sites-pandora-master-catalog/default/dwbb259ca6/productimages/singlepackshot/",LEFT(A2022,FIND("-",A2022&amp;"-")-1),"_RGB.png")),""))),"{""url"":""https://us.pandora.net/on/demandware.static/-/Sites-pandora-master-catalog/default/dwbb259ca6/productimages/singlepackshot/382234C00_RGB.png"",""mode"":1}")</f>
        <v>{"url":"https://us.pandora.net/on/demandware.static/-/Sites-pandora-master-catalog/default/dwbb259ca6/productimages/singlepackshot/382234C00_RGB.png","mode":1}</v>
      </c>
      <c r="D2022" s="5" t="str">
        <f ca="1">IFERROR(ROWSDUMMYFUNCTION(IF(A2022="","",CONCATENATE("https://us.pandora.net/on/demandware.static/-/Sites-pandora-master-catalog/default/dwbb259ca6/productimages/singlepackshot/",LEFT(A2022,FIND("-",A2022&amp;"-")-1),"_RGB.png"))),"https://us.pandora.net/on/demandware.static/-/Sites-pandora-master-catalog/default/dwbb259ca6/productimages/singlepackshot/382234C00_RGB.png")</f>
        <v>https://us.pandora.net/on/demandware.static/-/Sites-pandora-master-catalog/default/dwbb259ca6/productimages/singlepackshot/382234C00_RGB.png</v>
      </c>
    </row>
    <row r="2023" spans="1:4" x14ac:dyDescent="0.25">
      <c r="A2023" s="3" t="s">
        <v>2025</v>
      </c>
      <c r="B2023" s="4">
        <v>279</v>
      </c>
      <c r="C2023" s="3" t="str">
        <f ca="1">IFERROR(ROWSDUMMYFUNCTION(IF(A2023="","",IFERROR(IMAGE(CONCATENATE("https://us.pandora.net/on/demandware.static/-/Sites-pandora-master-catalog/default/dwbb259ca6/productimages/singlepackshot/",LEFT(A2023,FIND("-",A2023&amp;"-")-1),"_RGB.png")),""))),"{""url"":""https://us.pandora.net/on/demandware.static/-/Sites-pandora-master-catalog/default/dwbb259ca6/productimages/singlepackshot/382234C00_RGB.png"",""mode"":1}")</f>
        <v>{"url":"https://us.pandora.net/on/demandware.static/-/Sites-pandora-master-catalog/default/dwbb259ca6/productimages/singlepackshot/382234C00_RGB.png","mode":1}</v>
      </c>
      <c r="D2023" s="5" t="str">
        <f ca="1">IFERROR(ROWSDUMMYFUNCTION(IF(A2023="","",CONCATENATE("https://us.pandora.net/on/demandware.static/-/Sites-pandora-master-catalog/default/dwbb259ca6/productimages/singlepackshot/",LEFT(A2023,FIND("-",A2023&amp;"-")-1),"_RGB.png"))),"https://us.pandora.net/on/demandware.static/-/Sites-pandora-master-catalog/default/dwbb259ca6/productimages/singlepackshot/382234C00_RGB.png")</f>
        <v>https://us.pandora.net/on/demandware.static/-/Sites-pandora-master-catalog/default/dwbb259ca6/productimages/singlepackshot/382234C00_RGB.png</v>
      </c>
    </row>
    <row r="2024" spans="1:4" x14ac:dyDescent="0.25">
      <c r="A2024" s="3" t="s">
        <v>2026</v>
      </c>
      <c r="B2024" s="4">
        <v>279</v>
      </c>
      <c r="C2024" s="3" t="str">
        <f ca="1">IFERROR(ROWSDUMMYFUNCTION(IF(A2024="","",IFERROR(IMAGE(CONCATENATE("https://us.pandora.net/on/demandware.static/-/Sites-pandora-master-catalog/default/dwbb259ca6/productimages/singlepackshot/",LEFT(A2024,FIND("-",A2024&amp;"-")-1),"_RGB.png")),""))),"{""url"":""https://us.pandora.net/on/demandware.static/-/Sites-pandora-master-catalog/default/dwbb259ca6/productimages/singlepackshot/382234C00_RGB.png"",""mode"":1}")</f>
        <v>{"url":"https://us.pandora.net/on/demandware.static/-/Sites-pandora-master-catalog/default/dwbb259ca6/productimages/singlepackshot/382234C00_RGB.png","mode":1}</v>
      </c>
      <c r="D2024" s="5" t="str">
        <f ca="1">IFERROR(ROWSDUMMYFUNCTION(IF(A2024="","",CONCATENATE("https://us.pandora.net/on/demandware.static/-/Sites-pandora-master-catalog/default/dwbb259ca6/productimages/singlepackshot/",LEFT(A2024,FIND("-",A2024&amp;"-")-1),"_RGB.png"))),"https://us.pandora.net/on/demandware.static/-/Sites-pandora-master-catalog/default/dwbb259ca6/productimages/singlepackshot/382234C00_RGB.png")</f>
        <v>https://us.pandora.net/on/demandware.static/-/Sites-pandora-master-catalog/default/dwbb259ca6/productimages/singlepackshot/382234C00_RGB.png</v>
      </c>
    </row>
    <row r="2025" spans="1:4" x14ac:dyDescent="0.25">
      <c r="A2025" s="3" t="s">
        <v>2027</v>
      </c>
      <c r="B2025" s="4">
        <v>269</v>
      </c>
      <c r="C2025" s="3" t="str">
        <f ca="1">IFERROR(ROWSDUMMYFUNCTION(IF(A2025="","",IFERROR(IMAGE(CONCATENATE("https://us.pandora.net/on/demandware.static/-/Sites-pandora-master-catalog/default/dwbb259ca6/productimages/singlepackshot/",LEFT(A2025,FIND("-",A2025&amp;"-")-1),"_RGB.png")),""))),"{""url"":""https://us.pandora.net/on/demandware.static/-/Sites-pandora-master-catalog/default/dwbb259ca6/productimages/singlepackshot/382451C00_RGB.png"",""mode"":1}")</f>
        <v>{"url":"https://us.pandora.net/on/demandware.static/-/Sites-pandora-master-catalog/default/dwbb259ca6/productimages/singlepackshot/382451C00_RGB.png","mode":1}</v>
      </c>
      <c r="D2025" s="5" t="str">
        <f ca="1">IFERROR(ROWSDUMMYFUNCTION(IF(A2025="","",CONCATENATE("https://us.pandora.net/on/demandware.static/-/Sites-pandora-master-catalog/default/dwbb259ca6/productimages/singlepackshot/",LEFT(A2025,FIND("-",A2025&amp;"-")-1),"_RGB.png"))),"https://us.pandora.net/on/demandware.static/-/Sites-pandora-master-catalog/default/dwbb259ca6/productimages/singlepackshot/382451C00_RGB.png")</f>
        <v>https://us.pandora.net/on/demandware.static/-/Sites-pandora-master-catalog/default/dwbb259ca6/productimages/singlepackshot/382451C00_RGB.png</v>
      </c>
    </row>
    <row r="2026" spans="1:4" x14ac:dyDescent="0.25">
      <c r="A2026" s="3" t="s">
        <v>2028</v>
      </c>
      <c r="B2026" s="4">
        <v>119</v>
      </c>
      <c r="C2026" s="3" t="str">
        <f ca="1">IFERROR(ROWSDUMMYFUNCTION(IF(A2026="","",IFERROR(IMAGE(CONCATENATE("https://us.pandora.net/on/demandware.static/-/Sites-pandora-master-catalog/default/dwbb259ca6/productimages/singlepackshot/",LEFT(A2026,FIND("-",A2026&amp;"-")-1),"_RGB.png")),""))),"{""url"":""https://us.pandora.net/on/demandware.static/-/Sites-pandora-master-catalog/default/dwbb259ca6/productimages/singlepackshot/382778C01_RGB.png"",""mode"":1}")</f>
        <v>{"url":"https://us.pandora.net/on/demandware.static/-/Sites-pandora-master-catalog/default/dwbb259ca6/productimages/singlepackshot/382778C01_RGB.png","mode":1}</v>
      </c>
      <c r="D2026" s="5" t="str">
        <f ca="1">IFERROR(ROWSDUMMYFUNCTION(IF(A2026="","",CONCATENATE("https://us.pandora.net/on/demandware.static/-/Sites-pandora-master-catalog/default/dwbb259ca6/productimages/singlepackshot/",LEFT(A2026,FIND("-",A2026&amp;"-")-1),"_RGB.png"))),"https://us.pandora.net/on/demandware.static/-/Sites-pandora-master-catalog/default/dwbb259ca6/productimages/singlepackshot/382778C01_RGB.png")</f>
        <v>https://us.pandora.net/on/demandware.static/-/Sites-pandora-master-catalog/default/dwbb259ca6/productimages/singlepackshot/382778C01_RGB.png</v>
      </c>
    </row>
    <row r="2027" spans="1:4" x14ac:dyDescent="0.25">
      <c r="A2027" s="3" t="s">
        <v>2029</v>
      </c>
      <c r="B2027" s="4">
        <v>149</v>
      </c>
      <c r="C2027" s="3" t="str">
        <f ca="1">IFERROR(ROWSDUMMYFUNCTION(IF(A2027="","",IFERROR(IMAGE(CONCATENATE("https://us.pandora.net/on/demandware.static/-/Sites-pandora-master-catalog/default/dwbb259ca6/productimages/singlepackshot/",LEFT(A2027,FIND("-",A2027&amp;"-")-1),"_RGB.png")),""))),"{""url"":""https://us.pandora.net/on/demandware.static/-/Sites-pandora-master-catalog/default/dwbb259ca6/productimages/singlepackshot/387436C01_RGB.png"",""mode"":1}")</f>
        <v>{"url":"https://us.pandora.net/on/demandware.static/-/Sites-pandora-master-catalog/default/dwbb259ca6/productimages/singlepackshot/387436C01_RGB.png","mode":1}</v>
      </c>
      <c r="D2027" s="5" t="str">
        <f ca="1">IFERROR(ROWSDUMMYFUNCTION(IF(A2027="","",CONCATENATE("https://us.pandora.net/on/demandware.static/-/Sites-pandora-master-catalog/default/dwbb259ca6/productimages/singlepackshot/",LEFT(A2027,FIND("-",A2027&amp;"-")-1),"_RGB.png"))),"https://us.pandora.net/on/demandware.static/-/Sites-pandora-master-catalog/default/dwbb259ca6/productimages/singlepackshot/387436C01_RGB.png")</f>
        <v>https://us.pandora.net/on/demandware.static/-/Sites-pandora-master-catalog/default/dwbb259ca6/productimages/singlepackshot/387436C01_RGB.png</v>
      </c>
    </row>
    <row r="2028" spans="1:4" x14ac:dyDescent="0.25">
      <c r="A2028" s="3" t="s">
        <v>2030</v>
      </c>
      <c r="B2028" s="4">
        <v>149</v>
      </c>
      <c r="C2028" s="3" t="str">
        <f ca="1">IFERROR(ROWSDUMMYFUNCTION(IF(A2028="","",IFERROR(IMAGE(CONCATENATE("https://us.pandora.net/on/demandware.static/-/Sites-pandora-master-catalog/default/dwbb259ca6/productimages/singlepackshot/",LEFT(A2028,FIND("-",A2028&amp;"-")-1),"_RGB.png")),""))),"{""url"":""https://us.pandora.net/on/demandware.static/-/Sites-pandora-master-catalog/default/dwbb259ca6/productimages/singlepackshot/388283_RGB.png"",""mode"":1}")</f>
        <v>{"url":"https://us.pandora.net/on/demandware.static/-/Sites-pandora-master-catalog/default/dwbb259ca6/productimages/singlepackshot/388283_RGB.png","mode":1}</v>
      </c>
      <c r="D2028" s="5" t="str">
        <f ca="1">IFERROR(ROWSDUMMYFUNCTION(IF(A2028="","",CONCATENATE("https://us.pandora.net/on/demandware.static/-/Sites-pandora-master-catalog/default/dwbb259ca6/productimages/singlepackshot/",LEFT(A2028,FIND("-",A2028&amp;"-")-1),"_RGB.png"))),"https://us.pandora.net/on/demandware.static/-/Sites-pandora-master-catalog/default/dwbb259ca6/productimages/singlepackshot/388283_RGB.png")</f>
        <v>https://us.pandora.net/on/demandware.static/-/Sites-pandora-master-catalog/default/dwbb259ca6/productimages/singlepackshot/388283_RGB.png</v>
      </c>
    </row>
    <row r="2029" spans="1:4" x14ac:dyDescent="0.25">
      <c r="A2029" s="3" t="s">
        <v>2031</v>
      </c>
      <c r="B2029" s="4">
        <v>149</v>
      </c>
      <c r="C2029" s="3" t="str">
        <f ca="1">IFERROR(ROWSDUMMYFUNCTION(IF(A2029="","",IFERROR(IMAGE(CONCATENATE("https://us.pandora.net/on/demandware.static/-/Sites-pandora-master-catalog/default/dwbb259ca6/productimages/singlepackshot/",LEFT(A2029,FIND("-",A2029&amp;"-")-1),"_RGB.png")),""))),"{""url"":""https://us.pandora.net/on/demandware.static/-/Sites-pandora-master-catalog/default/dwbb259ca6/productimages/singlepackshot/388425C01_RGB.png"",""mode"":1}")</f>
        <v>{"url":"https://us.pandora.net/on/demandware.static/-/Sites-pandora-master-catalog/default/dwbb259ca6/productimages/singlepackshot/388425C01_RGB.png","mode":1}</v>
      </c>
      <c r="D2029" s="5" t="str">
        <f ca="1">IFERROR(ROWSDUMMYFUNCTION(IF(A2029="","",CONCATENATE("https://us.pandora.net/on/demandware.static/-/Sites-pandora-master-catalog/default/dwbb259ca6/productimages/singlepackshot/",LEFT(A2029,FIND("-",A2029&amp;"-")-1),"_RGB.png"))),"https://us.pandora.net/on/demandware.static/-/Sites-pandora-master-catalog/default/dwbb259ca6/productimages/singlepackshot/388425C01_RGB.png")</f>
        <v>https://us.pandora.net/on/demandware.static/-/Sites-pandora-master-catalog/default/dwbb259ca6/productimages/singlepackshot/388425C01_RGB.png</v>
      </c>
    </row>
    <row r="2030" spans="1:4" x14ac:dyDescent="0.25">
      <c r="A2030" s="3" t="s">
        <v>2032</v>
      </c>
      <c r="B2030" s="4">
        <v>159</v>
      </c>
      <c r="C2030" s="3" t="str">
        <f ca="1">IFERROR(ROWSDUMMYFUNCTION(IF(A2030="","",IFERROR(IMAGE(CONCATENATE("https://us.pandora.net/on/demandware.static/-/Sites-pandora-master-catalog/default/dwbb259ca6/productimages/singlepackshot/",LEFT(A2030,FIND("-",A2030&amp;"-")-1),"_RGB.png")),""))),"{""url"":""https://us.pandora.net/on/demandware.static/-/Sites-pandora-master-catalog/default/dwbb259ca6/productimages/singlepackshot/388425C02_RGB.png"",""mode"":1}")</f>
        <v>{"url":"https://us.pandora.net/on/demandware.static/-/Sites-pandora-master-catalog/default/dwbb259ca6/productimages/singlepackshot/388425C02_RGB.png","mode":1}</v>
      </c>
      <c r="D2030" s="5" t="str">
        <f ca="1">IFERROR(ROWSDUMMYFUNCTION(IF(A2030="","",CONCATENATE("https://us.pandora.net/on/demandware.static/-/Sites-pandora-master-catalog/default/dwbb259ca6/productimages/singlepackshot/",LEFT(A2030,FIND("-",A2030&amp;"-")-1),"_RGB.png"))),"https://us.pandora.net/on/demandware.static/-/Sites-pandora-master-catalog/default/dwbb259ca6/productimages/singlepackshot/388425C02_RGB.png")</f>
        <v>https://us.pandora.net/on/demandware.static/-/Sites-pandora-master-catalog/default/dwbb259ca6/productimages/singlepackshot/388425C02_RGB.png</v>
      </c>
    </row>
    <row r="2031" spans="1:4" x14ac:dyDescent="0.25">
      <c r="A2031" s="3" t="s">
        <v>2033</v>
      </c>
      <c r="B2031" s="4">
        <v>49</v>
      </c>
      <c r="C2031" s="3" t="str">
        <f ca="1">IFERROR(ROWSDUMMYFUNCTION(IF(A2031="","",IFERROR(IMAGE(CONCATENATE("https://us.pandora.net/on/demandware.static/-/Sites-pandora-master-catalog/default/dwbb259ca6/productimages/singlepackshot/",LEFT(A2031,FIND("-",A2031&amp;"-")-1),"_RGB.png")),""))),"{""url"":""https://us.pandora.net/on/demandware.static/-/Sites-pandora-master-catalog/default/dwbb259ca6/productimages/singlepackshot/388610C00_RGB.png"",""mode"":1}")</f>
        <v>{"url":"https://us.pandora.net/on/demandware.static/-/Sites-pandora-master-catalog/default/dwbb259ca6/productimages/singlepackshot/388610C00_RGB.png","mode":1}</v>
      </c>
      <c r="D2031" s="5" t="str">
        <f ca="1">IFERROR(ROWSDUMMYFUNCTION(IF(A2031="","",CONCATENATE("https://us.pandora.net/on/demandware.static/-/Sites-pandora-master-catalog/default/dwbb259ca6/productimages/singlepackshot/",LEFT(A2031,FIND("-",A2031&amp;"-")-1),"_RGB.png"))),"https://us.pandora.net/on/demandware.static/-/Sites-pandora-master-catalog/default/dwbb259ca6/productimages/singlepackshot/388610C00_RGB.png")</f>
        <v>https://us.pandora.net/on/demandware.static/-/Sites-pandora-master-catalog/default/dwbb259ca6/productimages/singlepackshot/388610C00_RGB.png</v>
      </c>
    </row>
    <row r="2032" spans="1:4" x14ac:dyDescent="0.25">
      <c r="A2032" s="3" t="s">
        <v>2034</v>
      </c>
      <c r="B2032" s="4">
        <v>49</v>
      </c>
      <c r="C2032" s="3" t="str">
        <f ca="1">IFERROR(ROWSDUMMYFUNCTION(IF(A2032="","",IFERROR(IMAGE(CONCATENATE("https://us.pandora.net/on/demandware.static/-/Sites-pandora-master-catalog/default/dwbb259ca6/productimages/singlepackshot/",LEFT(A2032,FIND("-",A2032&amp;"-")-1),"_RGB.png")),""))),"{""url"":""https://us.pandora.net/on/demandware.static/-/Sites-pandora-master-catalog/default/dwbb259ca6/productimages/singlepackshot/388914C00_RGB.png"",""mode"":1}")</f>
        <v>{"url":"https://us.pandora.net/on/demandware.static/-/Sites-pandora-master-catalog/default/dwbb259ca6/productimages/singlepackshot/388914C00_RGB.png","mode":1}</v>
      </c>
      <c r="D2032" s="5" t="str">
        <f ca="1">IFERROR(ROWSDUMMYFUNCTION(IF(A2032="","",CONCATENATE("https://us.pandora.net/on/demandware.static/-/Sites-pandora-master-catalog/default/dwbb259ca6/productimages/singlepackshot/",LEFT(A2032,FIND("-",A2032&amp;"-")-1),"_RGB.png"))),"https://us.pandora.net/on/demandware.static/-/Sites-pandora-master-catalog/default/dwbb259ca6/productimages/singlepackshot/388914C00_RGB.png")</f>
        <v>https://us.pandora.net/on/demandware.static/-/Sites-pandora-master-catalog/default/dwbb259ca6/productimages/singlepackshot/388914C00_RGB.png</v>
      </c>
    </row>
    <row r="2033" spans="1:4" x14ac:dyDescent="0.25">
      <c r="A2033" s="3" t="s">
        <v>2035</v>
      </c>
      <c r="B2033" s="4">
        <v>129</v>
      </c>
      <c r="C2033" s="3" t="str">
        <f ca="1">IFERROR(ROWSDUMMYFUNCTION(IF(A2033="","",IFERROR(IMAGE(CONCATENATE("https://us.pandora.net/on/demandware.static/-/Sites-pandora-master-catalog/default/dwbb259ca6/productimages/singlepackshot/",LEFT(A2033,FIND("-",A2033&amp;"-")-1),"_RGB.png")),""))),"{""url"":""https://us.pandora.net/on/demandware.static/-/Sites-pandora-master-catalog/default/dwbb259ca6/productimages/singlepackshot/389483C01_RGB.png"",""mode"":1}")</f>
        <v>{"url":"https://us.pandora.net/on/demandware.static/-/Sites-pandora-master-catalog/default/dwbb259ca6/productimages/singlepackshot/389483C01_RGB.png","mode":1}</v>
      </c>
      <c r="D2033" s="5" t="str">
        <f ca="1">IFERROR(ROWSDUMMYFUNCTION(IF(A2033="","",CONCATENATE("https://us.pandora.net/on/demandware.static/-/Sites-pandora-master-catalog/default/dwbb259ca6/productimages/singlepackshot/",LEFT(A2033,FIND("-",A2033&amp;"-")-1),"_RGB.png"))),"https://us.pandora.net/on/demandware.static/-/Sites-pandora-master-catalog/default/dwbb259ca6/productimages/singlepackshot/389483C01_RGB.png")</f>
        <v>https://us.pandora.net/on/demandware.static/-/Sites-pandora-master-catalog/default/dwbb259ca6/productimages/singlepackshot/389483C01_RGB.png</v>
      </c>
    </row>
    <row r="2034" spans="1:4" x14ac:dyDescent="0.25">
      <c r="A2034" s="3" t="s">
        <v>2036</v>
      </c>
      <c r="B2034" s="4">
        <v>89</v>
      </c>
      <c r="C2034" s="3" t="str">
        <f ca="1">IFERROR(ROWSDUMMYFUNCTION(IF(A2034="","",IFERROR(IMAGE(CONCATENATE("https://us.pandora.net/on/demandware.static/-/Sites-pandora-master-catalog/default/dwbb259ca6/productimages/singlepackshot/",LEFT(A2034,FIND("-",A2034&amp;"-")-1),"_RGB.png")),""))),"{""url"":""https://us.pandora.net/on/demandware.static/-/Sites-pandora-master-catalog/default/dwbb259ca6/productimages/singlepackshot/390055C01_RGB.png"",""mode"":1}")</f>
        <v>{"url":"https://us.pandora.net/on/demandware.static/-/Sites-pandora-master-catalog/default/dwbb259ca6/productimages/singlepackshot/390055C01_RGB.png","mode":1}</v>
      </c>
      <c r="D2034" s="5" t="str">
        <f ca="1">IFERROR(ROWSDUMMYFUNCTION(IF(A2034="","",CONCATENATE("https://us.pandora.net/on/demandware.static/-/Sites-pandora-master-catalog/default/dwbb259ca6/productimages/singlepackshot/",LEFT(A2034,FIND("-",A2034&amp;"-")-1),"_RGB.png"))),"https://us.pandora.net/on/demandware.static/-/Sites-pandora-master-catalog/default/dwbb259ca6/productimages/singlepackshot/390055C01_RGB.png")</f>
        <v>https://us.pandora.net/on/demandware.static/-/Sites-pandora-master-catalog/default/dwbb259ca6/productimages/singlepackshot/390055C01_RGB.png</v>
      </c>
    </row>
    <row r="2035" spans="1:4" x14ac:dyDescent="0.25">
      <c r="A2035" s="3" t="s">
        <v>2037</v>
      </c>
      <c r="B2035" s="4">
        <v>89</v>
      </c>
      <c r="C2035" s="3" t="str">
        <f ca="1">IFERROR(ROWSDUMMYFUNCTION(IF(A2035="","",IFERROR(IMAGE(CONCATENATE("https://us.pandora.net/on/demandware.static/-/Sites-pandora-master-catalog/default/dwbb259ca6/productimages/singlepackshot/",LEFT(A2035,FIND("-",A2035&amp;"-")-1),"_RGB.png")),""))),"{""url"":""https://us.pandora.net/on/demandware.static/-/Sites-pandora-master-catalog/default/dwbb259ca6/productimages/singlepackshot/391174C01_RGB.png"",""mode"":1}")</f>
        <v>{"url":"https://us.pandora.net/on/demandware.static/-/Sites-pandora-master-catalog/default/dwbb259ca6/productimages/singlepackshot/391174C01_RGB.png","mode":1}</v>
      </c>
      <c r="D2035" s="5" t="str">
        <f ca="1">IFERROR(ROWSDUMMYFUNCTION(IF(A2035="","",CONCATENATE("https://us.pandora.net/on/demandware.static/-/Sites-pandora-master-catalog/default/dwbb259ca6/productimages/singlepackshot/",LEFT(A2035,FIND("-",A2035&amp;"-")-1),"_RGB.png"))),"https://us.pandora.net/on/demandware.static/-/Sites-pandora-master-catalog/default/dwbb259ca6/productimages/singlepackshot/391174C01_RGB.png")</f>
        <v>https://us.pandora.net/on/demandware.static/-/Sites-pandora-master-catalog/default/dwbb259ca6/productimages/singlepackshot/391174C01_RGB.png</v>
      </c>
    </row>
    <row r="2036" spans="1:4" x14ac:dyDescent="0.25">
      <c r="A2036" s="3" t="s">
        <v>2038</v>
      </c>
      <c r="B2036" s="4">
        <v>79</v>
      </c>
      <c r="C2036" s="3" t="str">
        <f ca="1">IFERROR(ROWSDUMMYFUNCTION(IF(A2036="","",IFERROR(IMAGE(CONCATENATE("https://us.pandora.net/on/demandware.static/-/Sites-pandora-master-catalog/default/dwbb259ca6/productimages/singlepackshot/",LEFT(A2036,FIND("-",A2036&amp;"-")-1),"_RGB.png")),""))),"{""url"":""https://us.pandora.net/on/demandware.static/-/Sites-pandora-master-catalog/default/dwbb259ca6/productimages/singlepackshot/391229C01_RGB.png"",""mode"":1}")</f>
        <v>{"url":"https://us.pandora.net/on/demandware.static/-/Sites-pandora-master-catalog/default/dwbb259ca6/productimages/singlepackshot/391229C01_RGB.png","mode":1}</v>
      </c>
      <c r="D2036" s="5" t="str">
        <f ca="1">IFERROR(ROWSDUMMYFUNCTION(IF(A2036="","",CONCATENATE("https://us.pandora.net/on/demandware.static/-/Sites-pandora-master-catalog/default/dwbb259ca6/productimages/singlepackshot/",LEFT(A2036,FIND("-",A2036&amp;"-")-1),"_RGB.png"))),"https://us.pandora.net/on/demandware.static/-/Sites-pandora-master-catalog/default/dwbb259ca6/productimages/singlepackshot/391229C01_RGB.png")</f>
        <v>https://us.pandora.net/on/demandware.static/-/Sites-pandora-master-catalog/default/dwbb259ca6/productimages/singlepackshot/391229C01_RGB.png</v>
      </c>
    </row>
    <row r="2037" spans="1:4" x14ac:dyDescent="0.25">
      <c r="A2037" s="3" t="s">
        <v>2039</v>
      </c>
      <c r="B2037" s="4">
        <v>69</v>
      </c>
      <c r="C2037" s="3" t="str">
        <f ca="1">IFERROR(ROWSDUMMYFUNCTION(IF(A2037="","",IFERROR(IMAGE(CONCATENATE("https://us.pandora.net/on/demandware.static/-/Sites-pandora-master-catalog/default/dwbb259ca6/productimages/singlepackshot/",LEFT(A2037,FIND("-",A2037&amp;"-")-1),"_RGB.png")),""))),"{""url"":""https://us.pandora.net/on/demandware.static/-/Sites-pandora-master-catalog/default/dwbb259ca6/productimages/singlepackshot/391455C01_RGB.png"",""mode"":1}")</f>
        <v>{"url":"https://us.pandora.net/on/demandware.static/-/Sites-pandora-master-catalog/default/dwbb259ca6/productimages/singlepackshot/391455C01_RGB.png","mode":1}</v>
      </c>
      <c r="D2037" s="5" t="str">
        <f ca="1">IFERROR(ROWSDUMMYFUNCTION(IF(A2037="","",CONCATENATE("https://us.pandora.net/on/demandware.static/-/Sites-pandora-master-catalog/default/dwbb259ca6/productimages/singlepackshot/",LEFT(A2037,FIND("-",A2037&amp;"-")-1),"_RGB.png"))),"https://us.pandora.net/on/demandware.static/-/Sites-pandora-master-catalog/default/dwbb259ca6/productimages/singlepackshot/391455C01_RGB.png")</f>
        <v>https://us.pandora.net/on/demandware.static/-/Sites-pandora-master-catalog/default/dwbb259ca6/productimages/singlepackshot/391455C01_RGB.png</v>
      </c>
    </row>
    <row r="2038" spans="1:4" x14ac:dyDescent="0.25">
      <c r="A2038" s="3" t="s">
        <v>2040</v>
      </c>
      <c r="B2038" s="4">
        <v>89</v>
      </c>
      <c r="C2038" s="3" t="str">
        <f ca="1">IFERROR(ROWSDUMMYFUNCTION(IF(A2038="","",IFERROR(IMAGE(CONCATENATE("https://us.pandora.net/on/demandware.static/-/Sites-pandora-master-catalog/default/dwbb259ca6/productimages/singlepackshot/",LEFT(A2038,FIND("-",A2038&amp;"-")-1),"_RGB.png")),""))),"{""url"":""https://us.pandora.net/on/demandware.static/-/Sites-pandora-master-catalog/default/dwbb259ca6/productimages/singlepackshot/392303C00_RGB.png"",""mode"":1}")</f>
        <v>{"url":"https://us.pandora.net/on/demandware.static/-/Sites-pandora-master-catalog/default/dwbb259ca6/productimages/singlepackshot/392303C00_RGB.png","mode":1}</v>
      </c>
      <c r="D2038" s="5" t="str">
        <f ca="1">IFERROR(ROWSDUMMYFUNCTION(IF(A2038="","",CONCATENATE("https://us.pandora.net/on/demandware.static/-/Sites-pandora-master-catalog/default/dwbb259ca6/productimages/singlepackshot/",LEFT(A2038,FIND("-",A2038&amp;"-")-1),"_RGB.png"))),"https://us.pandora.net/on/demandware.static/-/Sites-pandora-master-catalog/default/dwbb259ca6/productimages/singlepackshot/392303C00_RGB.png")</f>
        <v>https://us.pandora.net/on/demandware.static/-/Sites-pandora-master-catalog/default/dwbb259ca6/productimages/singlepackshot/392303C00_RGB.png</v>
      </c>
    </row>
    <row r="2039" spans="1:4" x14ac:dyDescent="0.25">
      <c r="A2039" s="3" t="s">
        <v>2041</v>
      </c>
      <c r="B2039" s="4">
        <v>79</v>
      </c>
      <c r="C2039" s="3" t="str">
        <f ca="1">IFERROR(ROWSDUMMYFUNCTION(IF(A2039="","",IFERROR(IMAGE(CONCATENATE("https://us.pandora.net/on/demandware.static/-/Sites-pandora-master-catalog/default/dwbb259ca6/productimages/singlepackshot/",LEFT(A2039,FIND("-",A2039&amp;"-")-1),"_RGB.png")),""))),"{""url"":""https://us.pandora.net/on/demandware.static/-/Sites-pandora-master-catalog/default/dwbb259ca6/productimages/singlepackshot/392387C01_RGB.png"",""mode"":1}")</f>
        <v>{"url":"https://us.pandora.net/on/demandware.static/-/Sites-pandora-master-catalog/default/dwbb259ca6/productimages/singlepackshot/392387C01_RGB.png","mode":1}</v>
      </c>
      <c r="D2039" s="5" t="str">
        <f ca="1">IFERROR(ROWSDUMMYFUNCTION(IF(A2039="","",CONCATENATE("https://us.pandora.net/on/demandware.static/-/Sites-pandora-master-catalog/default/dwbb259ca6/productimages/singlepackshot/",LEFT(A2039,FIND("-",A2039&amp;"-")-1),"_RGB.png"))),"https://us.pandora.net/on/demandware.static/-/Sites-pandora-master-catalog/default/dwbb259ca6/productimages/singlepackshot/392387C01_RGB.png")</f>
        <v>https://us.pandora.net/on/demandware.static/-/Sites-pandora-master-catalog/default/dwbb259ca6/productimages/singlepackshot/392387C01_RGB.png</v>
      </c>
    </row>
    <row r="2040" spans="1:4" x14ac:dyDescent="0.25">
      <c r="A2040" s="3" t="s">
        <v>2042</v>
      </c>
      <c r="B2040" s="4">
        <v>89</v>
      </c>
      <c r="C2040" s="3" t="str">
        <f ca="1">IFERROR(ROWSDUMMYFUNCTION(IF(A2040="","",IFERROR(IMAGE(CONCATENATE("https://us.pandora.net/on/demandware.static/-/Sites-pandora-master-catalog/default/dwbb259ca6/productimages/singlepackshot/",LEFT(A2040,FIND("-",A2040&amp;"-")-1),"_RGB.png")),""))),"{""url"":""https://us.pandora.net/on/demandware.static/-/Sites-pandora-master-catalog/default/dwbb259ca6/productimages/singlepackshot/392387C02_RGB.png"",""mode"":1}")</f>
        <v>{"url":"https://us.pandora.net/on/demandware.static/-/Sites-pandora-master-catalog/default/dwbb259ca6/productimages/singlepackshot/392387C02_RGB.png","mode":1}</v>
      </c>
      <c r="D2040" s="5" t="str">
        <f ca="1">IFERROR(ROWSDUMMYFUNCTION(IF(A2040="","",CONCATENATE("https://us.pandora.net/on/demandware.static/-/Sites-pandora-master-catalog/default/dwbb259ca6/productimages/singlepackshot/",LEFT(A2040,FIND("-",A2040&amp;"-")-1),"_RGB.png"))),"https://us.pandora.net/on/demandware.static/-/Sites-pandora-master-catalog/default/dwbb259ca6/productimages/singlepackshot/392387C02_RGB.png")</f>
        <v>https://us.pandora.net/on/demandware.static/-/Sites-pandora-master-catalog/default/dwbb259ca6/productimages/singlepackshot/392387C02_RGB.png</v>
      </c>
    </row>
    <row r="2041" spans="1:4" x14ac:dyDescent="0.25">
      <c r="A2041" s="3" t="s">
        <v>2043</v>
      </c>
      <c r="B2041" s="4">
        <v>129</v>
      </c>
      <c r="C2041" s="3" t="str">
        <f ca="1">IFERROR(ROWSDUMMYFUNCTION(IF(A2041="","",IFERROR(IMAGE(CONCATENATE("https://us.pandora.net/on/demandware.static/-/Sites-pandora-master-catalog/default/dwbb259ca6/productimages/singlepackshot/",LEFT(A2041,FIND("-",A2041&amp;"-")-1),"_RGB.png")),""))),"{""url"":""https://us.pandora.net/on/demandware.static/-/Sites-pandora-master-catalog/default/dwbb259ca6/productimages/singlepackshot/392451C00_RGB.png"",""mode"":1}")</f>
        <v>{"url":"https://us.pandora.net/on/demandware.static/-/Sites-pandora-master-catalog/default/dwbb259ca6/productimages/singlepackshot/392451C00_RGB.png","mode":1}</v>
      </c>
      <c r="D2041" s="5" t="str">
        <f ca="1">IFERROR(ROWSDUMMYFUNCTION(IF(A2041="","",CONCATENATE("https://us.pandora.net/on/demandware.static/-/Sites-pandora-master-catalog/default/dwbb259ca6/productimages/singlepackshot/",LEFT(A2041,FIND("-",A2041&amp;"-")-1),"_RGB.png"))),"https://us.pandora.net/on/demandware.static/-/Sites-pandora-master-catalog/default/dwbb259ca6/productimages/singlepackshot/392451C00_RGB.png")</f>
        <v>https://us.pandora.net/on/demandware.static/-/Sites-pandora-master-catalog/default/dwbb259ca6/productimages/singlepackshot/392451C00_RGB.png</v>
      </c>
    </row>
    <row r="2042" spans="1:4" x14ac:dyDescent="0.25">
      <c r="A2042" s="3" t="s">
        <v>2044</v>
      </c>
      <c r="B2042" s="4">
        <v>79</v>
      </c>
      <c r="C2042" s="3" t="str">
        <f ca="1">IFERROR(ROWSDUMMYFUNCTION(IF(A2042="","",IFERROR(IMAGE(CONCATENATE("https://us.pandora.net/on/demandware.static/-/Sites-pandora-master-catalog/default/dwbb259ca6/productimages/singlepackshot/",LEFT(A2042,FIND("-",A2042&amp;"-")-1),"_RGB.png")),""))),"{""url"":""https://us.pandora.net/on/demandware.static/-/Sites-pandora-master-catalog/default/dwbb259ca6/productimages/singlepackshot/392542C01_RGB.png"",""mode"":1}")</f>
        <v>{"url":"https://us.pandora.net/on/demandware.static/-/Sites-pandora-master-catalog/default/dwbb259ca6/productimages/singlepackshot/392542C01_RGB.png","mode":1}</v>
      </c>
      <c r="D2042" s="5" t="str">
        <f ca="1">IFERROR(ROWSDUMMYFUNCTION(IF(A2042="","",CONCATENATE("https://us.pandora.net/on/demandware.static/-/Sites-pandora-master-catalog/default/dwbb259ca6/productimages/singlepackshot/",LEFT(A2042,FIND("-",A2042&amp;"-")-1),"_RGB.png"))),"https://us.pandora.net/on/demandware.static/-/Sites-pandora-master-catalog/default/dwbb259ca6/productimages/singlepackshot/392542C01_RGB.png")</f>
        <v>https://us.pandora.net/on/demandware.static/-/Sites-pandora-master-catalog/default/dwbb259ca6/productimages/singlepackshot/392542C01_RGB.png</v>
      </c>
    </row>
    <row r="2043" spans="1:4" x14ac:dyDescent="0.25">
      <c r="A2043" s="3" t="s">
        <v>2045</v>
      </c>
      <c r="B2043" s="4">
        <v>79</v>
      </c>
      <c r="C2043" s="3" t="str">
        <f ca="1">IFERROR(ROWSDUMMYFUNCTION(IF(A2043="","",IFERROR(IMAGE(CONCATENATE("https://us.pandora.net/on/demandware.static/-/Sites-pandora-master-catalog/default/dwbb259ca6/productimages/singlepackshot/",LEFT(A2043,FIND("-",A2043&amp;"-")-1),"_RGB.png")),""))),"{""url"":""https://us.pandora.net/on/demandware.static/-/Sites-pandora-master-catalog/default/dwbb259ca6/productimages/singlepackshot/392620C01_RGB.png"",""mode"":1}")</f>
        <v>{"url":"https://us.pandora.net/on/demandware.static/-/Sites-pandora-master-catalog/default/dwbb259ca6/productimages/singlepackshot/392620C01_RGB.png","mode":1}</v>
      </c>
      <c r="D2043" s="5" t="str">
        <f ca="1">IFERROR(ROWSDUMMYFUNCTION(IF(A2043="","",CONCATENATE("https://us.pandora.net/on/demandware.static/-/Sites-pandora-master-catalog/default/dwbb259ca6/productimages/singlepackshot/",LEFT(A2043,FIND("-",A2043&amp;"-")-1),"_RGB.png"))),"https://us.pandora.net/on/demandware.static/-/Sites-pandora-master-catalog/default/dwbb259ca6/productimages/singlepackshot/392620C01_RGB.png")</f>
        <v>https://us.pandora.net/on/demandware.static/-/Sites-pandora-master-catalog/default/dwbb259ca6/productimages/singlepackshot/392620C01_RGB.png</v>
      </c>
    </row>
    <row r="2044" spans="1:4" x14ac:dyDescent="0.25">
      <c r="A2044" s="3" t="s">
        <v>2046</v>
      </c>
      <c r="B2044" s="4">
        <v>69</v>
      </c>
      <c r="C2044" s="3" t="str">
        <f ca="1">IFERROR(ROWSDUMMYFUNCTION(IF(A2044="","",IFERROR(IMAGE(CONCATENATE("https://us.pandora.net/on/demandware.static/-/Sites-pandora-master-catalog/default/dwbb259ca6/productimages/singlepackshot/",LEFT(A2044,FIND("-",A2044&amp;"-")-1),"_RGB.png")),""))),"{""url"":""https://us.pandora.net/on/demandware.static/-/Sites-pandora-master-catalog/default/dwbb259ca6/productimages/singlepackshot/392666C01_RGB.png"",""mode"":1}")</f>
        <v>{"url":"https://us.pandora.net/on/demandware.static/-/Sites-pandora-master-catalog/default/dwbb259ca6/productimages/singlepackshot/392666C01_RGB.png","mode":1}</v>
      </c>
      <c r="D2044" s="5" t="str">
        <f ca="1">IFERROR(ROWSDUMMYFUNCTION(IF(A2044="","",CONCATENATE("https://us.pandora.net/on/demandware.static/-/Sites-pandora-master-catalog/default/dwbb259ca6/productimages/singlepackshot/",LEFT(A2044,FIND("-",A2044&amp;"-")-1),"_RGB.png"))),"https://us.pandora.net/on/demandware.static/-/Sites-pandora-master-catalog/default/dwbb259ca6/productimages/singlepackshot/392666C01_RGB.png")</f>
        <v>https://us.pandora.net/on/demandware.static/-/Sites-pandora-master-catalog/default/dwbb259ca6/productimages/singlepackshot/392666C01_RGB.png</v>
      </c>
    </row>
    <row r="2045" spans="1:4" x14ac:dyDescent="0.25">
      <c r="A2045" s="3" t="s">
        <v>2047</v>
      </c>
      <c r="B2045" s="4">
        <v>79</v>
      </c>
      <c r="C2045" s="3" t="str">
        <f ca="1">IFERROR(ROWSDUMMYFUNCTION(IF(A2045="","",IFERROR(IMAGE(CONCATENATE("https://us.pandora.net/on/demandware.static/-/Sites-pandora-master-catalog/default/dwbb259ca6/productimages/singlepackshot/",LEFT(A2045,FIND("-",A2045&amp;"-")-1),"_RGB.png")),""))),"{""url"":""https://us.pandora.net/on/demandware.static/-/Sites-pandora-master-catalog/default/dwbb259ca6/productimages/singlepackshot/392736C01_RGB.png"",""mode"":1}")</f>
        <v>{"url":"https://us.pandora.net/on/demandware.static/-/Sites-pandora-master-catalog/default/dwbb259ca6/productimages/singlepackshot/392736C01_RGB.png","mode":1}</v>
      </c>
      <c r="D2045" s="5" t="str">
        <f ca="1">IFERROR(ROWSDUMMYFUNCTION(IF(A2045="","",CONCATENATE("https://us.pandora.net/on/demandware.static/-/Sites-pandora-master-catalog/default/dwbb259ca6/productimages/singlepackshot/",LEFT(A2045,FIND("-",A2045&amp;"-")-1),"_RGB.png"))),"https://us.pandora.net/on/demandware.static/-/Sites-pandora-master-catalog/default/dwbb259ca6/productimages/singlepackshot/392736C01_RGB.png")</f>
        <v>https://us.pandora.net/on/demandware.static/-/Sites-pandora-master-catalog/default/dwbb259ca6/productimages/singlepackshot/392736C01_RGB.png</v>
      </c>
    </row>
    <row r="2046" spans="1:4" x14ac:dyDescent="0.25">
      <c r="A2046" s="3" t="s">
        <v>2048</v>
      </c>
      <c r="B2046" s="4">
        <v>169</v>
      </c>
      <c r="C2046" s="3" t="str">
        <f ca="1">IFERROR(ROWSDUMMYFUNCTION(IF(A2046="","",IFERROR(IMAGE(CONCATENATE("https://us.pandora.net/on/demandware.static/-/Sites-pandora-master-catalog/default/dwbb259ca6/productimages/singlepackshot/",LEFT(A2046,FIND("-",A2046&amp;"-")-1),"_RGB.png")),""))),"{""url"":""https://us.pandora.net/on/demandware.static/-/Sites-pandora-master-catalog/default/dwbb259ca6/productimages/singlepackshot/392799C00_RGB.png"",""mode"":1}")</f>
        <v>{"url":"https://us.pandora.net/on/demandware.static/-/Sites-pandora-master-catalog/default/dwbb259ca6/productimages/singlepackshot/392799C00_RGB.png","mode":1}</v>
      </c>
      <c r="D2046" s="5" t="str">
        <f ca="1">IFERROR(ROWSDUMMYFUNCTION(IF(A2046="","",CONCATENATE("https://us.pandora.net/on/demandware.static/-/Sites-pandora-master-catalog/default/dwbb259ca6/productimages/singlepackshot/",LEFT(A2046,FIND("-",A2046&amp;"-")-1),"_RGB.png"))),"https://us.pandora.net/on/demandware.static/-/Sites-pandora-master-catalog/default/dwbb259ca6/productimages/singlepackshot/392799C00_RGB.png")</f>
        <v>https://us.pandora.net/on/demandware.static/-/Sites-pandora-master-catalog/default/dwbb259ca6/productimages/singlepackshot/392799C00_RGB.png</v>
      </c>
    </row>
    <row r="2047" spans="1:4" x14ac:dyDescent="0.25">
      <c r="A2047" s="3" t="s">
        <v>2049</v>
      </c>
      <c r="B2047" s="4">
        <v>89</v>
      </c>
      <c r="C2047" s="3" t="str">
        <f ca="1">IFERROR(ROWSDUMMYFUNCTION(IF(A2047="","",IFERROR(IMAGE(CONCATENATE("https://us.pandora.net/on/demandware.static/-/Sites-pandora-master-catalog/default/dwbb259ca6/productimages/singlepackshot/",LEFT(A2047,FIND("-",A2047&amp;"-")-1),"_RGB.png")),""))),"{""url"":""https://us.pandora.net/on/demandware.static/-/Sites-pandora-master-catalog/default/dwbb259ca6/productimages/singlepackshot/392832C01_RGB.png"",""mode"":1}")</f>
        <v>{"url":"https://us.pandora.net/on/demandware.static/-/Sites-pandora-master-catalog/default/dwbb259ca6/productimages/singlepackshot/392832C01_RGB.png","mode":1}</v>
      </c>
      <c r="D2047" s="5" t="str">
        <f ca="1">IFERROR(ROWSDUMMYFUNCTION(IF(A2047="","",CONCATENATE("https://us.pandora.net/on/demandware.static/-/Sites-pandora-master-catalog/default/dwbb259ca6/productimages/singlepackshot/",LEFT(A2047,FIND("-",A2047&amp;"-")-1),"_RGB.png"))),"https://us.pandora.net/on/demandware.static/-/Sites-pandora-master-catalog/default/dwbb259ca6/productimages/singlepackshot/392832C01_RGB.png")</f>
        <v>https://us.pandora.net/on/demandware.static/-/Sites-pandora-master-catalog/default/dwbb259ca6/productimages/singlepackshot/392832C01_RGB.png</v>
      </c>
    </row>
    <row r="2048" spans="1:4" x14ac:dyDescent="0.25">
      <c r="A2048" s="3" t="s">
        <v>2050</v>
      </c>
      <c r="B2048" s="4">
        <v>69</v>
      </c>
      <c r="C2048" s="3" t="str">
        <f ca="1">IFERROR(ROWSDUMMYFUNCTION(IF(A2048="","",IFERROR(IMAGE(CONCATENATE("https://us.pandora.net/on/demandware.static/-/Sites-pandora-master-catalog/default/dwbb259ca6/productimages/singlepackshot/",LEFT(A2048,FIND("-",A2048&amp;"-")-1),"_RGB.png")),""))),"{""url"":""https://us.pandora.net/on/demandware.static/-/Sites-pandora-master-catalog/default/dwbb259ca6/productimages/singlepackshot/392991C01_RGB.png"",""mode"":1}")</f>
        <v>{"url":"https://us.pandora.net/on/demandware.static/-/Sites-pandora-master-catalog/default/dwbb259ca6/productimages/singlepackshot/392991C01_RGB.png","mode":1}</v>
      </c>
      <c r="D2048" s="5" t="str">
        <f ca="1">IFERROR(ROWSDUMMYFUNCTION(IF(A2048="","",CONCATENATE("https://us.pandora.net/on/demandware.static/-/Sites-pandora-master-catalog/default/dwbb259ca6/productimages/singlepackshot/",LEFT(A2048,FIND("-",A2048&amp;"-")-1),"_RGB.png"))),"https://us.pandora.net/on/demandware.static/-/Sites-pandora-master-catalog/default/dwbb259ca6/productimages/singlepackshot/392991C01_RGB.png")</f>
        <v>https://us.pandora.net/on/demandware.static/-/Sites-pandora-master-catalog/default/dwbb259ca6/productimages/singlepackshot/392991C01_RGB.png</v>
      </c>
    </row>
    <row r="2049" spans="1:4" x14ac:dyDescent="0.25">
      <c r="A2049" s="3" t="s">
        <v>2051</v>
      </c>
      <c r="B2049" s="4">
        <v>59</v>
      </c>
      <c r="C2049" s="3" t="str">
        <f ca="1">IFERROR(ROWSDUMMYFUNCTION(IF(A2049="","",IFERROR(IMAGE(CONCATENATE("https://us.pandora.net/on/demandware.static/-/Sites-pandora-master-catalog/default/dwbb259ca6/productimages/singlepackshot/",LEFT(A2049,FIND("-",A2049&amp;"-")-1),"_RGB.png")),""))),"{""url"":""https://us.pandora.net/on/demandware.static/-/Sites-pandora-master-catalog/default/dwbb259ca6/productimages/singlepackshot/393014C01_RGB.png"",""mode"":1}")</f>
        <v>{"url":"https://us.pandora.net/on/demandware.static/-/Sites-pandora-master-catalog/default/dwbb259ca6/productimages/singlepackshot/393014C01_RGB.png","mode":1}</v>
      </c>
      <c r="D2049" s="5" t="str">
        <f ca="1">IFERROR(ROWSDUMMYFUNCTION(IF(A2049="","",CONCATENATE("https://us.pandora.net/on/demandware.static/-/Sites-pandora-master-catalog/default/dwbb259ca6/productimages/singlepackshot/",LEFT(A2049,FIND("-",A2049&amp;"-")-1),"_RGB.png"))),"https://us.pandora.net/on/demandware.static/-/Sites-pandora-master-catalog/default/dwbb259ca6/productimages/singlepackshot/393014C01_RGB.png")</f>
        <v>https://us.pandora.net/on/demandware.static/-/Sites-pandora-master-catalog/default/dwbb259ca6/productimages/singlepackshot/393014C01_RGB.png</v>
      </c>
    </row>
    <row r="2050" spans="1:4" x14ac:dyDescent="0.25">
      <c r="A2050" s="3" t="s">
        <v>2052</v>
      </c>
      <c r="B2050" s="4">
        <v>39</v>
      </c>
      <c r="C2050" s="3" t="str">
        <f ca="1">IFERROR(ROWSDUMMYFUNCTION(IF(A2050="","",IFERROR(IMAGE(CONCATENATE("https://us.pandora.net/on/demandware.static/-/Sites-pandora-master-catalog/default/dwbb259ca6/productimages/singlepackshot/",LEFT(A2050,FIND("-",A2050&amp;"-")-1),"_RGB.png")),""))),"{""url"":""https://us.pandora.net/on/demandware.static/-/Sites-pandora-master-catalog/default/dwbb259ca6/productimages/singlepackshot/393052C00_RGB.png"",""mode"":1}")</f>
        <v>{"url":"https://us.pandora.net/on/demandware.static/-/Sites-pandora-master-catalog/default/dwbb259ca6/productimages/singlepackshot/393052C00_RGB.png","mode":1}</v>
      </c>
      <c r="D2050" s="5" t="str">
        <f ca="1">IFERROR(ROWSDUMMYFUNCTION(IF(A2050="","",CONCATENATE("https://us.pandora.net/on/demandware.static/-/Sites-pandora-master-catalog/default/dwbb259ca6/productimages/singlepackshot/",LEFT(A2050,FIND("-",A2050&amp;"-")-1),"_RGB.png"))),"https://us.pandora.net/on/demandware.static/-/Sites-pandora-master-catalog/default/dwbb259ca6/productimages/singlepackshot/393052C00_RGB.png")</f>
        <v>https://us.pandora.net/on/demandware.static/-/Sites-pandora-master-catalog/default/dwbb259ca6/productimages/singlepackshot/393052C00_RGB.png</v>
      </c>
    </row>
    <row r="2051" spans="1:4" x14ac:dyDescent="0.25">
      <c r="A2051" s="3" t="s">
        <v>2053</v>
      </c>
      <c r="B2051" s="4">
        <v>99</v>
      </c>
      <c r="C2051" s="3" t="str">
        <f ca="1">IFERROR(ROWSDUMMYFUNCTION(IF(A2051="","",IFERROR(IMAGE(CONCATENATE("https://us.pandora.net/on/demandware.static/-/Sites-pandora-master-catalog/default/dwbb259ca6/productimages/singlepackshot/",LEFT(A2051,FIND("-",A2051&amp;"-")-1),"_RGB.png")),""))),"{""url"":""https://us.pandora.net/on/demandware.static/-/Sites-pandora-master-catalog/default/dwbb259ca6/productimages/singlepackshot/393057C01_RGB.png"",""mode"":1}")</f>
        <v>{"url":"https://us.pandora.net/on/demandware.static/-/Sites-pandora-master-catalog/default/dwbb259ca6/productimages/singlepackshot/393057C01_RGB.png","mode":1}</v>
      </c>
      <c r="D2051" s="5" t="str">
        <f ca="1">IFERROR(ROWSDUMMYFUNCTION(IF(A2051="","",CONCATENATE("https://us.pandora.net/on/demandware.static/-/Sites-pandora-master-catalog/default/dwbb259ca6/productimages/singlepackshot/",LEFT(A2051,FIND("-",A2051&amp;"-")-1),"_RGB.png"))),"https://us.pandora.net/on/demandware.static/-/Sites-pandora-master-catalog/default/dwbb259ca6/productimages/singlepackshot/393057C01_RGB.png")</f>
        <v>https://us.pandora.net/on/demandware.static/-/Sites-pandora-master-catalog/default/dwbb259ca6/productimages/singlepackshot/393057C01_RGB.png</v>
      </c>
    </row>
    <row r="2052" spans="1:4" x14ac:dyDescent="0.25">
      <c r="A2052" s="3" t="s">
        <v>2054</v>
      </c>
      <c r="B2052" s="4">
        <v>69</v>
      </c>
      <c r="C2052" s="3" t="str">
        <f ca="1">IFERROR(ROWSDUMMYFUNCTION(IF(A2052="","",IFERROR(IMAGE(CONCATENATE("https://us.pandora.net/on/demandware.static/-/Sites-pandora-master-catalog/default/dwbb259ca6/productimages/singlepackshot/",LEFT(A2052,FIND("-",A2052&amp;"-")-1),"_RGB.png")),""))),"{""url"":""https://us.pandora.net/on/demandware.static/-/Sites-pandora-master-catalog/default/dwbb259ca6/productimages/singlepackshot/393076C01_RGB.png"",""mode"":1}")</f>
        <v>{"url":"https://us.pandora.net/on/demandware.static/-/Sites-pandora-master-catalog/default/dwbb259ca6/productimages/singlepackshot/393076C01_RGB.png","mode":1}</v>
      </c>
      <c r="D2052" s="5" t="str">
        <f ca="1">IFERROR(ROWSDUMMYFUNCTION(IF(A2052="","",CONCATENATE("https://us.pandora.net/on/demandware.static/-/Sites-pandora-master-catalog/default/dwbb259ca6/productimages/singlepackshot/",LEFT(A2052,FIND("-",A2052&amp;"-")-1),"_RGB.png"))),"https://us.pandora.net/on/demandware.static/-/Sites-pandora-master-catalog/default/dwbb259ca6/productimages/singlepackshot/393076C01_RGB.png")</f>
        <v>https://us.pandora.net/on/demandware.static/-/Sites-pandora-master-catalog/default/dwbb259ca6/productimages/singlepackshot/393076C01_RGB.png</v>
      </c>
    </row>
    <row r="2053" spans="1:4" x14ac:dyDescent="0.25">
      <c r="A2053" s="3" t="s">
        <v>2055</v>
      </c>
      <c r="B2053" s="4">
        <v>129</v>
      </c>
      <c r="C2053" s="3" t="str">
        <f ca="1">IFERROR(ROWSDUMMYFUNCTION(IF(A2053="","",IFERROR(IMAGE(CONCATENATE("https://us.pandora.net/on/demandware.static/-/Sites-pandora-master-catalog/default/dwbb259ca6/productimages/singlepackshot/",LEFT(A2053,FIND("-",A2053&amp;"-")-1),"_RGB.png")),""))),"{""url"":""https://us.pandora.net/on/demandware.static/-/Sites-pandora-master-catalog/default/dwbb259ca6/productimages/singlepackshot/393091C00_RGB.png"",""mode"":1}")</f>
        <v>{"url":"https://us.pandora.net/on/demandware.static/-/Sites-pandora-master-catalog/default/dwbb259ca6/productimages/singlepackshot/393091C00_RGB.png","mode":1}</v>
      </c>
      <c r="D2053" s="5" t="str">
        <f ca="1">IFERROR(ROWSDUMMYFUNCTION(IF(A2053="","",CONCATENATE("https://us.pandora.net/on/demandware.static/-/Sites-pandora-master-catalog/default/dwbb259ca6/productimages/singlepackshot/",LEFT(A2053,FIND("-",A2053&amp;"-")-1),"_RGB.png"))),"https://us.pandora.net/on/demandware.static/-/Sites-pandora-master-catalog/default/dwbb259ca6/productimages/singlepackshot/393091C00_RGB.png")</f>
        <v>https://us.pandora.net/on/demandware.static/-/Sites-pandora-master-catalog/default/dwbb259ca6/productimages/singlepackshot/393091C00_RGB.png</v>
      </c>
    </row>
    <row r="2054" spans="1:4" x14ac:dyDescent="0.25">
      <c r="A2054" s="3" t="s">
        <v>2056</v>
      </c>
      <c r="B2054" s="4">
        <v>89</v>
      </c>
      <c r="C2054" s="3" t="str">
        <f ca="1">IFERROR(ROWSDUMMYFUNCTION(IF(A2054="","",IFERROR(IMAGE(CONCATENATE("https://us.pandora.net/on/demandware.static/-/Sites-pandora-master-catalog/default/dwbb259ca6/productimages/singlepackshot/",LEFT(A2054,FIND("-",A2054&amp;"-")-1),"_RGB.png")),""))),"{""url"":""https://us.pandora.net/on/demandware.static/-/Sites-pandora-master-catalog/default/dwbb259ca6/productimages/singlepackshot/393099C01_RGB.png"",""mode"":1}")</f>
        <v>{"url":"https://us.pandora.net/on/demandware.static/-/Sites-pandora-master-catalog/default/dwbb259ca6/productimages/singlepackshot/393099C01_RGB.png","mode":1}</v>
      </c>
      <c r="D2054" s="5" t="str">
        <f ca="1">IFERROR(ROWSDUMMYFUNCTION(IF(A2054="","",CONCATENATE("https://us.pandora.net/on/demandware.static/-/Sites-pandora-master-catalog/default/dwbb259ca6/productimages/singlepackshot/",LEFT(A2054,FIND("-",A2054&amp;"-")-1),"_RGB.png"))),"https://us.pandora.net/on/demandware.static/-/Sites-pandora-master-catalog/default/dwbb259ca6/productimages/singlepackshot/393099C01_RGB.png")</f>
        <v>https://us.pandora.net/on/demandware.static/-/Sites-pandora-master-catalog/default/dwbb259ca6/productimages/singlepackshot/393099C01_RGB.png</v>
      </c>
    </row>
    <row r="2055" spans="1:4" x14ac:dyDescent="0.25">
      <c r="A2055" s="3" t="s">
        <v>2057</v>
      </c>
      <c r="B2055" s="4">
        <v>99</v>
      </c>
      <c r="C2055" s="3" t="str">
        <f ca="1">IFERROR(ROWSDUMMYFUNCTION(IF(A2055="","",IFERROR(IMAGE(CONCATENATE("https://us.pandora.net/on/demandware.static/-/Sites-pandora-master-catalog/default/dwbb259ca6/productimages/singlepackshot/",LEFT(A2055,FIND("-",A2055&amp;"-")-1),"_RGB.png")),""))),"{""url"":""https://us.pandora.net/on/demandware.static/-/Sites-pandora-master-catalog/default/dwbb259ca6/productimages/singlepackshot/393160C01_RGB.png"",""mode"":1}")</f>
        <v>{"url":"https://us.pandora.net/on/demandware.static/-/Sites-pandora-master-catalog/default/dwbb259ca6/productimages/singlepackshot/393160C01_RGB.png","mode":1}</v>
      </c>
      <c r="D2055" s="5" t="str">
        <f ca="1">IFERROR(ROWSDUMMYFUNCTION(IF(A2055="","",CONCATENATE("https://us.pandora.net/on/demandware.static/-/Sites-pandora-master-catalog/default/dwbb259ca6/productimages/singlepackshot/",LEFT(A2055,FIND("-",A2055&amp;"-")-1),"_RGB.png"))),"https://us.pandora.net/on/demandware.static/-/Sites-pandora-master-catalog/default/dwbb259ca6/productimages/singlepackshot/393160C01_RGB.png")</f>
        <v>https://us.pandora.net/on/demandware.static/-/Sites-pandora-master-catalog/default/dwbb259ca6/productimages/singlepackshot/393160C01_RGB.png</v>
      </c>
    </row>
    <row r="2056" spans="1:4" x14ac:dyDescent="0.25">
      <c r="A2056" s="3" t="s">
        <v>2058</v>
      </c>
      <c r="B2056" s="4">
        <v>399</v>
      </c>
      <c r="C2056" s="3" t="str">
        <f ca="1">IFERROR(ROWSDUMMYFUNCTION(IF(A2056="","",IFERROR(IMAGE(CONCATENATE("https://us.pandora.net/on/demandware.static/-/Sites-pandora-master-catalog/default/dwbb259ca6/productimages/singlepackshot/",LEFT(A2056,FIND("-",A2056&amp;"-")-1),"_RGB.png")),""))),"{""url"":""https://us.pandora.net/on/demandware.static/-/Sites-pandora-master-catalog/default/dwbb259ca6/productimages/singlepackshot/393161C01_RGB.png"",""mode"":1}")</f>
        <v>{"url":"https://us.pandora.net/on/demandware.static/-/Sites-pandora-master-catalog/default/dwbb259ca6/productimages/singlepackshot/393161C01_RGB.png","mode":1}</v>
      </c>
      <c r="D2056" s="5" t="str">
        <f ca="1">IFERROR(ROWSDUMMYFUNCTION(IF(A2056="","",CONCATENATE("https://us.pandora.net/on/demandware.static/-/Sites-pandora-master-catalog/default/dwbb259ca6/productimages/singlepackshot/",LEFT(A2056,FIND("-",A2056&amp;"-")-1),"_RGB.png"))),"https://us.pandora.net/on/demandware.static/-/Sites-pandora-master-catalog/default/dwbb259ca6/productimages/singlepackshot/393161C01_RGB.png")</f>
        <v>https://us.pandora.net/on/demandware.static/-/Sites-pandora-master-catalog/default/dwbb259ca6/productimages/singlepackshot/393161C01_RGB.png</v>
      </c>
    </row>
    <row r="2057" spans="1:4" x14ac:dyDescent="0.25">
      <c r="A2057" s="3" t="s">
        <v>2059</v>
      </c>
      <c r="B2057" s="4">
        <v>99</v>
      </c>
      <c r="C2057" s="3" t="str">
        <f ca="1">IFERROR(ROWSDUMMYFUNCTION(IF(A2057="","",IFERROR(IMAGE(CONCATENATE("https://us.pandora.net/on/demandware.static/-/Sites-pandora-master-catalog/default/dwbb259ca6/productimages/singlepackshot/",LEFT(A2057,FIND("-",A2057&amp;"-")-1),"_RGB.png")),""))),"{""url"":""https://us.pandora.net/on/demandware.static/-/Sites-pandora-master-catalog/default/dwbb259ca6/productimages/singlepackshot/393165C01_RGB.png"",""mode"":1}")</f>
        <v>{"url":"https://us.pandora.net/on/demandware.static/-/Sites-pandora-master-catalog/default/dwbb259ca6/productimages/singlepackshot/393165C01_RGB.png","mode":1}</v>
      </c>
      <c r="D2057" s="5" t="str">
        <f ca="1">IFERROR(ROWSDUMMYFUNCTION(IF(A2057="","",CONCATENATE("https://us.pandora.net/on/demandware.static/-/Sites-pandora-master-catalog/default/dwbb259ca6/productimages/singlepackshot/",LEFT(A2057,FIND("-",A2057&amp;"-")-1),"_RGB.png"))),"https://us.pandora.net/on/demandware.static/-/Sites-pandora-master-catalog/default/dwbb259ca6/productimages/singlepackshot/393165C01_RGB.png")</f>
        <v>https://us.pandora.net/on/demandware.static/-/Sites-pandora-master-catalog/default/dwbb259ca6/productimages/singlepackshot/393165C01_RGB.png</v>
      </c>
    </row>
    <row r="2058" spans="1:4" x14ac:dyDescent="0.25">
      <c r="A2058" s="3" t="s">
        <v>2060</v>
      </c>
      <c r="B2058" s="4">
        <v>129</v>
      </c>
      <c r="C2058" s="3" t="str">
        <f ca="1">IFERROR(ROWSDUMMYFUNCTION(IF(A2058="","",IFERROR(IMAGE(CONCATENATE("https://us.pandora.net/on/demandware.static/-/Sites-pandora-master-catalog/default/dwbb259ca6/productimages/singlepackshot/",LEFT(A2058,FIND("-",A2058&amp;"-")-1),"_RGB.png")),""))),"{""url"":""https://us.pandora.net/on/demandware.static/-/Sites-pandora-master-catalog/default/dwbb259ca6/productimages/singlepackshot/393167C01_RGB.png"",""mode"":1}")</f>
        <v>{"url":"https://us.pandora.net/on/demandware.static/-/Sites-pandora-master-catalog/default/dwbb259ca6/productimages/singlepackshot/393167C01_RGB.png","mode":1}</v>
      </c>
      <c r="D2058" s="5" t="str">
        <f ca="1">IFERROR(ROWSDUMMYFUNCTION(IF(A2058="","",CONCATENATE("https://us.pandora.net/on/demandware.static/-/Sites-pandora-master-catalog/default/dwbb259ca6/productimages/singlepackshot/",LEFT(A2058,FIND("-",A2058&amp;"-")-1),"_RGB.png"))),"https://us.pandora.net/on/demandware.static/-/Sites-pandora-master-catalog/default/dwbb259ca6/productimages/singlepackshot/393167C01_RGB.png")</f>
        <v>https://us.pandora.net/on/demandware.static/-/Sites-pandora-master-catalog/default/dwbb259ca6/productimages/singlepackshot/393167C01_RGB.png</v>
      </c>
    </row>
    <row r="2059" spans="1:4" x14ac:dyDescent="0.25">
      <c r="A2059" s="3" t="s">
        <v>2061</v>
      </c>
      <c r="B2059" s="4">
        <v>249</v>
      </c>
      <c r="C2059" s="3" t="str">
        <f ca="1">IFERROR(ROWSDUMMYFUNCTION(IF(A2059="","",IFERROR(IMAGE(CONCATENATE("https://us.pandora.net/on/demandware.static/-/Sites-pandora-master-catalog/default/dwbb259ca6/productimages/singlepackshot/",LEFT(A2059,FIND("-",A2059&amp;"-")-1),"_RGB.png")),""))),"{""url"":""https://us.pandora.net/on/demandware.static/-/Sites-pandora-master-catalog/default/dwbb259ca6/productimages/singlepackshot/393175C01_RGB.png"",""mode"":1}")</f>
        <v>{"url":"https://us.pandora.net/on/demandware.static/-/Sites-pandora-master-catalog/default/dwbb259ca6/productimages/singlepackshot/393175C01_RGB.png","mode":1}</v>
      </c>
      <c r="D2059" s="5" t="str">
        <f ca="1">IFERROR(ROWSDUMMYFUNCTION(IF(A2059="","",CONCATENATE("https://us.pandora.net/on/demandware.static/-/Sites-pandora-master-catalog/default/dwbb259ca6/productimages/singlepackshot/",LEFT(A2059,FIND("-",A2059&amp;"-")-1),"_RGB.png"))),"https://us.pandora.net/on/demandware.static/-/Sites-pandora-master-catalog/default/dwbb259ca6/productimages/singlepackshot/393175C01_RGB.png")</f>
        <v>https://us.pandora.net/on/demandware.static/-/Sites-pandora-master-catalog/default/dwbb259ca6/productimages/singlepackshot/393175C01_RGB.png</v>
      </c>
    </row>
    <row r="2060" spans="1:4" x14ac:dyDescent="0.25">
      <c r="A2060" s="3" t="s">
        <v>2062</v>
      </c>
      <c r="B2060" s="4">
        <v>149</v>
      </c>
      <c r="C2060" s="3" t="str">
        <f ca="1">IFERROR(ROWSDUMMYFUNCTION(IF(A2060="","",IFERROR(IMAGE(CONCATENATE("https://us.pandora.net/on/demandware.static/-/Sites-pandora-master-catalog/default/dwbb259ca6/productimages/singlepackshot/",LEFT(A2060,FIND("-",A2060&amp;"-")-1),"_RGB.png")),""))),"{""url"":""https://us.pandora.net/on/demandware.static/-/Sites-pandora-master-catalog/default/dwbb259ca6/productimages/singlepackshot/393176C01_RGB.png"",""mode"":1}")</f>
        <v>{"url":"https://us.pandora.net/on/demandware.static/-/Sites-pandora-master-catalog/default/dwbb259ca6/productimages/singlepackshot/393176C01_RGB.png","mode":1}</v>
      </c>
      <c r="D2060" s="5" t="str">
        <f ca="1">IFERROR(ROWSDUMMYFUNCTION(IF(A2060="","",CONCATENATE("https://us.pandora.net/on/demandware.static/-/Sites-pandora-master-catalog/default/dwbb259ca6/productimages/singlepackshot/",LEFT(A2060,FIND("-",A2060&amp;"-")-1),"_RGB.png"))),"https://us.pandora.net/on/demandware.static/-/Sites-pandora-master-catalog/default/dwbb259ca6/productimages/singlepackshot/393176C01_RGB.png")</f>
        <v>https://us.pandora.net/on/demandware.static/-/Sites-pandora-master-catalog/default/dwbb259ca6/productimages/singlepackshot/393176C01_RGB.png</v>
      </c>
    </row>
    <row r="2061" spans="1:4" x14ac:dyDescent="0.25">
      <c r="A2061" s="3" t="s">
        <v>2063</v>
      </c>
      <c r="B2061" s="4">
        <v>79</v>
      </c>
      <c r="C2061" s="3" t="str">
        <f ca="1">IFERROR(ROWSDUMMYFUNCTION(IF(A2061="","",IFERROR(IMAGE(CONCATENATE("https://us.pandora.net/on/demandware.static/-/Sites-pandora-master-catalog/default/dwbb259ca6/productimages/singlepackshot/",LEFT(A2061,FIND("-",A2061&amp;"-")-1),"_RGB.png")),""))),"{""url"":""https://us.pandora.net/on/demandware.static/-/Sites-pandora-master-catalog/default/dwbb259ca6/productimages/singlepackshot/393206C01_RGB.png"",""mode"":1}")</f>
        <v>{"url":"https://us.pandora.net/on/demandware.static/-/Sites-pandora-master-catalog/default/dwbb259ca6/productimages/singlepackshot/393206C01_RGB.png","mode":1}</v>
      </c>
      <c r="D2061" s="5" t="str">
        <f ca="1">IFERROR(ROWSDUMMYFUNCTION(IF(A2061="","",CONCATENATE("https://us.pandora.net/on/demandware.static/-/Sites-pandora-master-catalog/default/dwbb259ca6/productimages/singlepackshot/",LEFT(A2061,FIND("-",A2061&amp;"-")-1),"_RGB.png"))),"https://us.pandora.net/on/demandware.static/-/Sites-pandora-master-catalog/default/dwbb259ca6/productimages/singlepackshot/393206C01_RGB.png")</f>
        <v>https://us.pandora.net/on/demandware.static/-/Sites-pandora-master-catalog/default/dwbb259ca6/productimages/singlepackshot/393206C01_RGB.png</v>
      </c>
    </row>
    <row r="2062" spans="1:4" x14ac:dyDescent="0.25">
      <c r="A2062" s="3" t="s">
        <v>2064</v>
      </c>
      <c r="B2062" s="4">
        <v>99</v>
      </c>
      <c r="C2062" s="3" t="str">
        <f ca="1">IFERROR(ROWSDUMMYFUNCTION(IF(A2062="","",IFERROR(IMAGE(CONCATENATE("https://us.pandora.net/on/demandware.static/-/Sites-pandora-master-catalog/default/dwbb259ca6/productimages/singlepackshot/",LEFT(A2062,FIND("-",A2062&amp;"-")-1),"_RGB.png")),""))),"{""url"":""https://us.pandora.net/on/demandware.static/-/Sites-pandora-master-catalog/default/dwbb259ca6/productimages/singlepackshot/393272C00_RGB.png"",""mode"":1}")</f>
        <v>{"url":"https://us.pandora.net/on/demandware.static/-/Sites-pandora-master-catalog/default/dwbb259ca6/productimages/singlepackshot/393272C00_RGB.png","mode":1}</v>
      </c>
      <c r="D2062" s="5" t="str">
        <f ca="1">IFERROR(ROWSDUMMYFUNCTION(IF(A2062="","",CONCATENATE("https://us.pandora.net/on/demandware.static/-/Sites-pandora-master-catalog/default/dwbb259ca6/productimages/singlepackshot/",LEFT(A2062,FIND("-",A2062&amp;"-")-1),"_RGB.png"))),"https://us.pandora.net/on/demandware.static/-/Sites-pandora-master-catalog/default/dwbb259ca6/productimages/singlepackshot/393272C00_RGB.png")</f>
        <v>https://us.pandora.net/on/demandware.static/-/Sites-pandora-master-catalog/default/dwbb259ca6/productimages/singlepackshot/393272C00_RGB.png</v>
      </c>
    </row>
    <row r="2063" spans="1:4" x14ac:dyDescent="0.25">
      <c r="A2063" s="3" t="s">
        <v>2065</v>
      </c>
      <c r="B2063" s="4">
        <v>79</v>
      </c>
      <c r="C2063" s="3" t="str">
        <f ca="1">IFERROR(ROWSDUMMYFUNCTION(IF(A2063="","",IFERROR(IMAGE(CONCATENATE("https://us.pandora.net/on/demandware.static/-/Sites-pandora-master-catalog/default/dwbb259ca6/productimages/singlepackshot/",LEFT(A2063,FIND("-",A2063&amp;"-")-1),"_RGB.png")),""))),"{""url"":""https://us.pandora.net/on/demandware.static/-/Sites-pandora-master-catalog/default/dwbb259ca6/productimages/singlepackshot/393303C01_RGB.png"",""mode"":1}")</f>
        <v>{"url":"https://us.pandora.net/on/demandware.static/-/Sites-pandora-master-catalog/default/dwbb259ca6/productimages/singlepackshot/393303C01_RGB.png","mode":1}</v>
      </c>
      <c r="D2063" s="5" t="str">
        <f ca="1">IFERROR(ROWSDUMMYFUNCTION(IF(A2063="","",CONCATENATE("https://us.pandora.net/on/demandware.static/-/Sites-pandora-master-catalog/default/dwbb259ca6/productimages/singlepackshot/",LEFT(A2063,FIND("-",A2063&amp;"-")-1),"_RGB.png"))),"https://us.pandora.net/on/demandware.static/-/Sites-pandora-master-catalog/default/dwbb259ca6/productimages/singlepackshot/393303C01_RGB.png")</f>
        <v>https://us.pandora.net/on/demandware.static/-/Sites-pandora-master-catalog/default/dwbb259ca6/productimages/singlepackshot/393303C01_RGB.png</v>
      </c>
    </row>
    <row r="2064" spans="1:4" x14ac:dyDescent="0.25">
      <c r="A2064" s="3" t="s">
        <v>2066</v>
      </c>
      <c r="B2064" s="4">
        <v>49</v>
      </c>
      <c r="C2064" s="3" t="str">
        <f ca="1">IFERROR(ROWSDUMMYFUNCTION(IF(A2064="","",IFERROR(IMAGE(CONCATENATE("https://us.pandora.net/on/demandware.static/-/Sites-pandora-master-catalog/default/dwbb259ca6/productimages/singlepackshot/",LEFT(A2064,FIND("-",A2064&amp;"-")-1),"_RGB.png")),""))),"{""url"":""https://us.pandora.net/on/demandware.static/-/Sites-pandora-master-catalog/default/dwbb259ca6/productimages/singlepackshot/393334C00_RGB.png"",""mode"":1}")</f>
        <v>{"url":"https://us.pandora.net/on/demandware.static/-/Sites-pandora-master-catalog/default/dwbb259ca6/productimages/singlepackshot/393334C00_RGB.png","mode":1}</v>
      </c>
      <c r="D2064" s="5" t="str">
        <f ca="1">IFERROR(ROWSDUMMYFUNCTION(IF(A2064="","",CONCATENATE("https://us.pandora.net/on/demandware.static/-/Sites-pandora-master-catalog/default/dwbb259ca6/productimages/singlepackshot/",LEFT(A2064,FIND("-",A2064&amp;"-")-1),"_RGB.png"))),"https://us.pandora.net/on/demandware.static/-/Sites-pandora-master-catalog/default/dwbb259ca6/productimages/singlepackshot/393334C00_RGB.png")</f>
        <v>https://us.pandora.net/on/demandware.static/-/Sites-pandora-master-catalog/default/dwbb259ca6/productimages/singlepackshot/393334C00_RGB.png</v>
      </c>
    </row>
    <row r="2065" spans="1:4" x14ac:dyDescent="0.25">
      <c r="A2065" s="3" t="s">
        <v>2067</v>
      </c>
      <c r="B2065" s="4">
        <v>129</v>
      </c>
      <c r="C2065" s="3" t="str">
        <f ca="1">IFERROR(ROWSDUMMYFUNCTION(IF(A2065="","",IFERROR(IMAGE(CONCATENATE("https://us.pandora.net/on/demandware.static/-/Sites-pandora-master-catalog/default/dwbb259ca6/productimages/singlepackshot/",LEFT(A2065,FIND("-",A2065&amp;"-")-1),"_RGB.png")),""))),"{""url"":""https://us.pandora.net/on/demandware.static/-/Sites-pandora-master-catalog/default/dwbb259ca6/productimages/singlepackshot/393377C00_RGB.png"",""mode"":1}")</f>
        <v>{"url":"https://us.pandora.net/on/demandware.static/-/Sites-pandora-master-catalog/default/dwbb259ca6/productimages/singlepackshot/393377C00_RGB.png","mode":1}</v>
      </c>
      <c r="D2065" s="5" t="str">
        <f ca="1">IFERROR(ROWSDUMMYFUNCTION(IF(A2065="","",CONCATENATE("https://us.pandora.net/on/demandware.static/-/Sites-pandora-master-catalog/default/dwbb259ca6/productimages/singlepackshot/",LEFT(A2065,FIND("-",A2065&amp;"-")-1),"_RGB.png"))),"https://us.pandora.net/on/demandware.static/-/Sites-pandora-master-catalog/default/dwbb259ca6/productimages/singlepackshot/393377C00_RGB.png")</f>
        <v>https://us.pandora.net/on/demandware.static/-/Sites-pandora-master-catalog/default/dwbb259ca6/productimages/singlepackshot/393377C00_RGB.png</v>
      </c>
    </row>
    <row r="2066" spans="1:4" x14ac:dyDescent="0.25">
      <c r="A2066" s="3" t="s">
        <v>2068</v>
      </c>
      <c r="B2066" s="4">
        <v>59</v>
      </c>
      <c r="C2066" s="3" t="str">
        <f ca="1">IFERROR(ROWSDUMMYFUNCTION(IF(A2066="","",IFERROR(IMAGE(CONCATENATE("https://us.pandora.net/on/demandware.static/-/Sites-pandora-master-catalog/default/dwbb259ca6/productimages/singlepackshot/",LEFT(A2066,FIND("-",A2066&amp;"-")-1),"_RGB.png")),""))),"{""url"":""https://us.pandora.net/on/demandware.static/-/Sites-pandora-master-catalog/default/dwbb259ca6/productimages/singlepackshot/393416C00_RGB.png"",""mode"":1}")</f>
        <v>{"url":"https://us.pandora.net/on/demandware.static/-/Sites-pandora-master-catalog/default/dwbb259ca6/productimages/singlepackshot/393416C00_RGB.png","mode":1}</v>
      </c>
      <c r="D2066" s="5" t="str">
        <f ca="1">IFERROR(ROWSDUMMYFUNCTION(IF(A2066="","",CONCATENATE("https://us.pandora.net/on/demandware.static/-/Sites-pandora-master-catalog/default/dwbb259ca6/productimages/singlepackshot/",LEFT(A2066,FIND("-",A2066&amp;"-")-1),"_RGB.png"))),"https://us.pandora.net/on/demandware.static/-/Sites-pandora-master-catalog/default/dwbb259ca6/productimages/singlepackshot/393416C00_RGB.png")</f>
        <v>https://us.pandora.net/on/demandware.static/-/Sites-pandora-master-catalog/default/dwbb259ca6/productimages/singlepackshot/393416C00_RGB.png</v>
      </c>
    </row>
    <row r="2067" spans="1:4" x14ac:dyDescent="0.25">
      <c r="A2067" s="3" t="s">
        <v>2069</v>
      </c>
      <c r="B2067" s="4">
        <v>79</v>
      </c>
      <c r="C2067" s="3" t="str">
        <f ca="1">IFERROR(ROWSDUMMYFUNCTION(IF(A2067="","",IFERROR(IMAGE(CONCATENATE("https://us.pandora.net/on/demandware.static/-/Sites-pandora-master-catalog/default/dwbb259ca6/productimages/singlepackshot/",LEFT(A2067,FIND("-",A2067&amp;"-")-1),"_RGB.png")),""))),"{""url"":""https://us.pandora.net/on/demandware.static/-/Sites-pandora-master-catalog/default/dwbb259ca6/productimages/singlepackshot/393509C01_RGB.png"",""mode"":1}")</f>
        <v>{"url":"https://us.pandora.net/on/demandware.static/-/Sites-pandora-master-catalog/default/dwbb259ca6/productimages/singlepackshot/393509C01_RGB.png","mode":1}</v>
      </c>
      <c r="D2067" s="5" t="str">
        <f ca="1">IFERROR(ROWSDUMMYFUNCTION(IF(A2067="","",CONCATENATE("https://us.pandora.net/on/demandware.static/-/Sites-pandora-master-catalog/default/dwbb259ca6/productimages/singlepackshot/",LEFT(A2067,FIND("-",A2067&amp;"-")-1),"_RGB.png"))),"https://us.pandora.net/on/demandware.static/-/Sites-pandora-master-catalog/default/dwbb259ca6/productimages/singlepackshot/393509C01_RGB.png")</f>
        <v>https://us.pandora.net/on/demandware.static/-/Sites-pandora-master-catalog/default/dwbb259ca6/productimages/singlepackshot/393509C01_RGB.png</v>
      </c>
    </row>
    <row r="2068" spans="1:4" x14ac:dyDescent="0.25">
      <c r="A2068" s="3" t="s">
        <v>2070</v>
      </c>
      <c r="B2068" s="4">
        <v>139</v>
      </c>
      <c r="C2068" s="3" t="str">
        <f ca="1">IFERROR(ROWSDUMMYFUNCTION(IF(A2068="","",IFERROR(IMAGE(CONCATENATE("https://us.pandora.net/on/demandware.static/-/Sites-pandora-master-catalog/default/dwbb259ca6/productimages/singlepackshot/",LEFT(A2068,FIND("-",A2068&amp;"-")-1),"_RGB.png")),""))),"{""url"":""https://us.pandora.net/on/demandware.static/-/Sites-pandora-master-catalog/default/dwbb259ca6/productimages/singlepackshot/393529C00_RGB.png"",""mode"":1}")</f>
        <v>{"url":"https://us.pandora.net/on/demandware.static/-/Sites-pandora-master-catalog/default/dwbb259ca6/productimages/singlepackshot/393529C00_RGB.png","mode":1}</v>
      </c>
      <c r="D2068" s="5" t="str">
        <f ca="1">IFERROR(ROWSDUMMYFUNCTION(IF(A2068="","",CONCATENATE("https://us.pandora.net/on/demandware.static/-/Sites-pandora-master-catalog/default/dwbb259ca6/productimages/singlepackshot/",LEFT(A2068,FIND("-",A2068&amp;"-")-1),"_RGB.png"))),"https://us.pandora.net/on/demandware.static/-/Sites-pandora-master-catalog/default/dwbb259ca6/productimages/singlepackshot/393529C00_RGB.png")</f>
        <v>https://us.pandora.net/on/demandware.static/-/Sites-pandora-master-catalog/default/dwbb259ca6/productimages/singlepackshot/393529C00_RGB.png</v>
      </c>
    </row>
    <row r="2069" spans="1:4" x14ac:dyDescent="0.25">
      <c r="A2069" s="3" t="s">
        <v>2071</v>
      </c>
      <c r="B2069" s="4">
        <v>59</v>
      </c>
      <c r="C2069" s="3" t="str">
        <f ca="1">IFERROR(ROWSDUMMYFUNCTION(IF(A2069="","",IFERROR(IMAGE(CONCATENATE("https://us.pandora.net/on/demandware.static/-/Sites-pandora-master-catalog/default/dwbb259ca6/productimages/singlepackshot/",LEFT(A2069,FIND("-",A2069&amp;"-")-1),"_RGB.png")),""))),"{""url"":""https://us.pandora.net/on/demandware.static/-/Sites-pandora-master-catalog/default/dwbb259ca6/productimages/singlepackshot/393548C01_RGB.png"",""mode"":1}")</f>
        <v>{"url":"https://us.pandora.net/on/demandware.static/-/Sites-pandora-master-catalog/default/dwbb259ca6/productimages/singlepackshot/393548C01_RGB.png","mode":1}</v>
      </c>
      <c r="D2069" s="5" t="str">
        <f ca="1">IFERROR(ROWSDUMMYFUNCTION(IF(A2069="","",CONCATENATE("https://us.pandora.net/on/demandware.static/-/Sites-pandora-master-catalog/default/dwbb259ca6/productimages/singlepackshot/",LEFT(A2069,FIND("-",A2069&amp;"-")-1),"_RGB.png"))),"https://us.pandora.net/on/demandware.static/-/Sites-pandora-master-catalog/default/dwbb259ca6/productimages/singlepackshot/393548C01_RGB.png")</f>
        <v>https://us.pandora.net/on/demandware.static/-/Sites-pandora-master-catalog/default/dwbb259ca6/productimages/singlepackshot/393548C01_RGB.png</v>
      </c>
    </row>
    <row r="2070" spans="1:4" x14ac:dyDescent="0.25">
      <c r="A2070" s="3" t="s">
        <v>2072</v>
      </c>
      <c r="B2070" s="4">
        <v>149</v>
      </c>
      <c r="C2070" s="3" t="str">
        <f ca="1">IFERROR(ROWSDUMMYFUNCTION(IF(A2070="","",IFERROR(IMAGE(CONCATENATE("https://us.pandora.net/on/demandware.static/-/Sites-pandora-master-catalog/default/dwbb259ca6/productimages/singlepackshot/",LEFT(A2070,FIND("-",A2070&amp;"-")-1),"_RGB.png")),""))),"{""url"":""https://us.pandora.net/on/demandware.static/-/Sites-pandora-master-catalog/default/dwbb259ca6/productimages/singlepackshot/393549C01_RGB.png"",""mode"":1}")</f>
        <v>{"url":"https://us.pandora.net/on/demandware.static/-/Sites-pandora-master-catalog/default/dwbb259ca6/productimages/singlepackshot/393549C01_RGB.png","mode":1}</v>
      </c>
      <c r="D2070" s="5" t="str">
        <f ca="1">IFERROR(ROWSDUMMYFUNCTION(IF(A2070="","",CONCATENATE("https://us.pandora.net/on/demandware.static/-/Sites-pandora-master-catalog/default/dwbb259ca6/productimages/singlepackshot/",LEFT(A2070,FIND("-",A2070&amp;"-")-1),"_RGB.png"))),"https://us.pandora.net/on/demandware.static/-/Sites-pandora-master-catalog/default/dwbb259ca6/productimages/singlepackshot/393549C01_RGB.png")</f>
        <v>https://us.pandora.net/on/demandware.static/-/Sites-pandora-master-catalog/default/dwbb259ca6/productimages/singlepackshot/393549C01_RGB.png</v>
      </c>
    </row>
    <row r="2071" spans="1:4" x14ac:dyDescent="0.25">
      <c r="A2071" s="3" t="s">
        <v>2073</v>
      </c>
      <c r="B2071" s="4">
        <v>89</v>
      </c>
      <c r="C2071" s="3" t="str">
        <f ca="1">IFERROR(ROWSDUMMYFUNCTION(IF(A2071="","",IFERROR(IMAGE(CONCATENATE("https://us.pandora.net/on/demandware.static/-/Sites-pandora-master-catalog/default/dwbb259ca6/productimages/singlepackshot/",LEFT(A2071,FIND("-",A2071&amp;"-")-1),"_RGB.png")),""))),"{""url"":""https://us.pandora.net/on/demandware.static/-/Sites-pandora-master-catalog/default/dwbb259ca6/productimages/singlepackshot/393560C01_RGB.png"",""mode"":1}")</f>
        <v>{"url":"https://us.pandora.net/on/demandware.static/-/Sites-pandora-master-catalog/default/dwbb259ca6/productimages/singlepackshot/393560C01_RGB.png","mode":1}</v>
      </c>
      <c r="D2071" s="5" t="str">
        <f ca="1">IFERROR(ROWSDUMMYFUNCTION(IF(A2071="","",CONCATENATE("https://us.pandora.net/on/demandware.static/-/Sites-pandora-master-catalog/default/dwbb259ca6/productimages/singlepackshot/",LEFT(A2071,FIND("-",A2071&amp;"-")-1),"_RGB.png"))),"https://us.pandora.net/on/demandware.static/-/Sites-pandora-master-catalog/default/dwbb259ca6/productimages/singlepackshot/393560C01_RGB.png")</f>
        <v>https://us.pandora.net/on/demandware.static/-/Sites-pandora-master-catalog/default/dwbb259ca6/productimages/singlepackshot/393560C01_RGB.png</v>
      </c>
    </row>
    <row r="2072" spans="1:4" x14ac:dyDescent="0.25">
      <c r="A2072" s="3" t="s">
        <v>2074</v>
      </c>
      <c r="B2072" s="4">
        <v>89</v>
      </c>
      <c r="C2072" s="3" t="str">
        <f ca="1">IFERROR(ROWSDUMMYFUNCTION(IF(A2072="","",IFERROR(IMAGE(CONCATENATE("https://us.pandora.net/on/demandware.static/-/Sites-pandora-master-catalog/default/dwbb259ca6/productimages/singlepackshot/",LEFT(A2072,FIND("-",A2072&amp;"-")-1),"_RGB.png")),""))),"{""url"":""https://us.pandora.net/on/demandware.static/-/Sites-pandora-master-catalog/default/dwbb259ca6/productimages/singlepackshot/393560C02_RGB.png"",""mode"":1}")</f>
        <v>{"url":"https://us.pandora.net/on/demandware.static/-/Sites-pandora-master-catalog/default/dwbb259ca6/productimages/singlepackshot/393560C02_RGB.png","mode":1}</v>
      </c>
      <c r="D2072" s="5" t="str">
        <f ca="1">IFERROR(ROWSDUMMYFUNCTION(IF(A2072="","",CONCATENATE("https://us.pandora.net/on/demandware.static/-/Sites-pandora-master-catalog/default/dwbb259ca6/productimages/singlepackshot/",LEFT(A2072,FIND("-",A2072&amp;"-")-1),"_RGB.png"))),"https://us.pandora.net/on/demandware.static/-/Sites-pandora-master-catalog/default/dwbb259ca6/productimages/singlepackshot/393560C02_RGB.png")</f>
        <v>https://us.pandora.net/on/demandware.static/-/Sites-pandora-master-catalog/default/dwbb259ca6/productimages/singlepackshot/393560C02_RGB.png</v>
      </c>
    </row>
    <row r="2073" spans="1:4" x14ac:dyDescent="0.25">
      <c r="A2073" s="3" t="s">
        <v>2075</v>
      </c>
      <c r="B2073" s="4">
        <v>69</v>
      </c>
      <c r="C2073" s="3" t="str">
        <f ca="1">IFERROR(ROWSDUMMYFUNCTION(IF(A2073="","",IFERROR(IMAGE(CONCATENATE("https://us.pandora.net/on/demandware.static/-/Sites-pandora-master-catalog/default/dwbb259ca6/productimages/singlepackshot/",LEFT(A2073,FIND("-",A2073&amp;"-")-1),"_RGB.png")),""))),"{""url"":""https://us.pandora.net/on/demandware.static/-/Sites-pandora-master-catalog/default/dwbb259ca6/productimages/singlepackshot/393600C01_RGB.png"",""mode"":1}")</f>
        <v>{"url":"https://us.pandora.net/on/demandware.static/-/Sites-pandora-master-catalog/default/dwbb259ca6/productimages/singlepackshot/393600C01_RGB.png","mode":1}</v>
      </c>
      <c r="D2073" s="5" t="str">
        <f ca="1">IFERROR(ROWSDUMMYFUNCTION(IF(A2073="","",CONCATENATE("https://us.pandora.net/on/demandware.static/-/Sites-pandora-master-catalog/default/dwbb259ca6/productimages/singlepackshot/",LEFT(A2073,FIND("-",A2073&amp;"-")-1),"_RGB.png"))),"https://us.pandora.net/on/demandware.static/-/Sites-pandora-master-catalog/default/dwbb259ca6/productimages/singlepackshot/393600C01_RGB.png")</f>
        <v>https://us.pandora.net/on/demandware.static/-/Sites-pandora-master-catalog/default/dwbb259ca6/productimages/singlepackshot/393600C01_RGB.png</v>
      </c>
    </row>
    <row r="2074" spans="1:4" x14ac:dyDescent="0.25">
      <c r="A2074" s="3" t="s">
        <v>2076</v>
      </c>
      <c r="B2074" s="4">
        <v>89</v>
      </c>
      <c r="C2074" s="3" t="str">
        <f ca="1">IFERROR(ROWSDUMMYFUNCTION(IF(A2074="","",IFERROR(IMAGE(CONCATENATE("https://us.pandora.net/on/demandware.static/-/Sites-pandora-master-catalog/default/dwbb259ca6/productimages/singlepackshot/",LEFT(A2074,FIND("-",A2074&amp;"-")-1),"_RGB.png")),""))),"{""url"":""https://us.pandora.net/on/demandware.static/-/Sites-pandora-master-catalog/default/dwbb259ca6/productimages/singlepackshot/393632C01_RGB.png"",""mode"":1}")</f>
        <v>{"url":"https://us.pandora.net/on/demandware.static/-/Sites-pandora-master-catalog/default/dwbb259ca6/productimages/singlepackshot/393632C01_RGB.png","mode":1}</v>
      </c>
      <c r="D2074" s="5" t="str">
        <f ca="1">IFERROR(ROWSDUMMYFUNCTION(IF(A2074="","",CONCATENATE("https://us.pandora.net/on/demandware.static/-/Sites-pandora-master-catalog/default/dwbb259ca6/productimages/singlepackshot/",LEFT(A2074,FIND("-",A2074&amp;"-")-1),"_RGB.png"))),"https://us.pandora.net/on/demandware.static/-/Sites-pandora-master-catalog/default/dwbb259ca6/productimages/singlepackshot/393632C01_RGB.png")</f>
        <v>https://us.pandora.net/on/demandware.static/-/Sites-pandora-master-catalog/default/dwbb259ca6/productimages/singlepackshot/393632C01_RGB.png</v>
      </c>
    </row>
    <row r="2075" spans="1:4" x14ac:dyDescent="0.25">
      <c r="A2075" s="3" t="s">
        <v>2077</v>
      </c>
      <c r="B2075" s="4">
        <v>119</v>
      </c>
      <c r="C2075" s="3" t="str">
        <f ca="1">IFERROR(ROWSDUMMYFUNCTION(IF(A2075="","",IFERROR(IMAGE(CONCATENATE("https://us.pandora.net/on/demandware.static/-/Sites-pandora-master-catalog/default/dwbb259ca6/productimages/singlepackshot/",LEFT(A2075,FIND("-",A2075&amp;"-")-1),"_RGB.png")),""))),"{""url"":""https://us.pandora.net/on/demandware.static/-/Sites-pandora-master-catalog/default/dwbb259ca6/productimages/singlepackshot/393658C01_RGB.png"",""mode"":1}")</f>
        <v>{"url":"https://us.pandora.net/on/demandware.static/-/Sites-pandora-master-catalog/default/dwbb259ca6/productimages/singlepackshot/393658C01_RGB.png","mode":1}</v>
      </c>
      <c r="D2075" s="5" t="str">
        <f ca="1">IFERROR(ROWSDUMMYFUNCTION(IF(A2075="","",CONCATENATE("https://us.pandora.net/on/demandware.static/-/Sites-pandora-master-catalog/default/dwbb259ca6/productimages/singlepackshot/",LEFT(A2075,FIND("-",A2075&amp;"-")-1),"_RGB.png"))),"https://us.pandora.net/on/demandware.static/-/Sites-pandora-master-catalog/default/dwbb259ca6/productimages/singlepackshot/393658C01_RGB.png")</f>
        <v>https://us.pandora.net/on/demandware.static/-/Sites-pandora-master-catalog/default/dwbb259ca6/productimages/singlepackshot/393658C01_RGB.png</v>
      </c>
    </row>
    <row r="2076" spans="1:4" x14ac:dyDescent="0.25">
      <c r="A2076" s="3" t="s">
        <v>2078</v>
      </c>
      <c r="B2076" s="4">
        <v>69</v>
      </c>
      <c r="C2076" s="3" t="str">
        <f ca="1">IFERROR(ROWSDUMMYFUNCTION(IF(A2076="","",IFERROR(IMAGE(CONCATENATE("https://us.pandora.net/on/demandware.static/-/Sites-pandora-master-catalog/default/dwbb259ca6/productimages/singlepackshot/",LEFT(A2076,FIND("-",A2076&amp;"-")-1),"_RGB.png")),""))),"{""url"":""https://us.pandora.net/on/demandware.static/-/Sites-pandora-master-catalog/default/dwbb259ca6/productimages/singlepackshot/393669C01_RGB.png"",""mode"":1}")</f>
        <v>{"url":"https://us.pandora.net/on/demandware.static/-/Sites-pandora-master-catalog/default/dwbb259ca6/productimages/singlepackshot/393669C01_RGB.png","mode":1}</v>
      </c>
      <c r="D2076" s="5" t="str">
        <f ca="1">IFERROR(ROWSDUMMYFUNCTION(IF(A2076="","",CONCATENATE("https://us.pandora.net/on/demandware.static/-/Sites-pandora-master-catalog/default/dwbb259ca6/productimages/singlepackshot/",LEFT(A2076,FIND("-",A2076&amp;"-")-1),"_RGB.png"))),"https://us.pandora.net/on/demandware.static/-/Sites-pandora-master-catalog/default/dwbb259ca6/productimages/singlepackshot/393669C01_RGB.png")</f>
        <v>https://us.pandora.net/on/demandware.static/-/Sites-pandora-master-catalog/default/dwbb259ca6/productimages/singlepackshot/393669C01_RGB.png</v>
      </c>
    </row>
    <row r="2077" spans="1:4" x14ac:dyDescent="0.25">
      <c r="A2077" s="3" t="s">
        <v>2079</v>
      </c>
      <c r="B2077" s="4">
        <v>129</v>
      </c>
      <c r="C2077" s="3" t="str">
        <f ca="1">IFERROR(ROWSDUMMYFUNCTION(IF(A2077="","",IFERROR(IMAGE(CONCATENATE("https://us.pandora.net/on/demandware.static/-/Sites-pandora-master-catalog/default/dwbb259ca6/productimages/singlepackshot/",LEFT(A2077,FIND("-",A2077&amp;"-")-1),"_RGB.png")),""))),"{""url"":""https://us.pandora.net/on/demandware.static/-/Sites-pandora-master-catalog/default/dwbb259ca6/productimages/singlepackshot/393682C00_RGB.png"",""mode"":1}")</f>
        <v>{"url":"https://us.pandora.net/on/demandware.static/-/Sites-pandora-master-catalog/default/dwbb259ca6/productimages/singlepackshot/393682C00_RGB.png","mode":1}</v>
      </c>
      <c r="D2077" s="5" t="str">
        <f ca="1">IFERROR(ROWSDUMMYFUNCTION(IF(A2077="","",CONCATENATE("https://us.pandora.net/on/demandware.static/-/Sites-pandora-master-catalog/default/dwbb259ca6/productimages/singlepackshot/",LEFT(A2077,FIND("-",A2077&amp;"-")-1),"_RGB.png"))),"https://us.pandora.net/on/demandware.static/-/Sites-pandora-master-catalog/default/dwbb259ca6/productimages/singlepackshot/393682C00_RGB.png")</f>
        <v>https://us.pandora.net/on/demandware.static/-/Sites-pandora-master-catalog/default/dwbb259ca6/productimages/singlepackshot/393682C00_RGB.png</v>
      </c>
    </row>
    <row r="2078" spans="1:4" x14ac:dyDescent="0.25">
      <c r="A2078" s="3" t="s">
        <v>2080</v>
      </c>
      <c r="B2078" s="4">
        <v>129</v>
      </c>
      <c r="C2078" s="3" t="str">
        <f ca="1">IFERROR(ROWSDUMMYFUNCTION(IF(A2078="","",IFERROR(IMAGE(CONCATENATE("https://us.pandora.net/on/demandware.static/-/Sites-pandora-master-catalog/default/dwbb259ca6/productimages/singlepackshot/",LEFT(A2078,FIND("-",A2078&amp;"-")-1),"_RGB.png")),""))),"{""url"":""https://us.pandora.net/on/demandware.static/-/Sites-pandora-master-catalog/default/dwbb259ca6/productimages/singlepackshot/393682C00_RGB.png"",""mode"":1}")</f>
        <v>{"url":"https://us.pandora.net/on/demandware.static/-/Sites-pandora-master-catalog/default/dwbb259ca6/productimages/singlepackshot/393682C00_RGB.png","mode":1}</v>
      </c>
      <c r="D2078" s="5" t="str">
        <f ca="1">IFERROR(ROWSDUMMYFUNCTION(IF(A2078="","",CONCATENATE("https://us.pandora.net/on/demandware.static/-/Sites-pandora-master-catalog/default/dwbb259ca6/productimages/singlepackshot/",LEFT(A2078,FIND("-",A2078&amp;"-")-1),"_RGB.png"))),"https://us.pandora.net/on/demandware.static/-/Sites-pandora-master-catalog/default/dwbb259ca6/productimages/singlepackshot/393682C00_RGB.png")</f>
        <v>https://us.pandora.net/on/demandware.static/-/Sites-pandora-master-catalog/default/dwbb259ca6/productimages/singlepackshot/393682C00_RGB.png</v>
      </c>
    </row>
    <row r="2079" spans="1:4" x14ac:dyDescent="0.25">
      <c r="A2079" s="3" t="s">
        <v>2081</v>
      </c>
      <c r="B2079" s="4">
        <v>99</v>
      </c>
      <c r="C2079" s="3" t="str">
        <f ca="1">IFERROR(ROWSDUMMYFUNCTION(IF(A2079="","",IFERROR(IMAGE(CONCATENATE("https://us.pandora.net/on/demandware.static/-/Sites-pandora-master-catalog/default/dwbb259ca6/productimages/singlepackshot/",LEFT(A2079,FIND("-",A2079&amp;"-")-1),"_RGB.png")),""))),"{""url"":""https://us.pandora.net/on/demandware.static/-/Sites-pandora-master-catalog/default/dwbb259ca6/productimages/singlepackshot/393743C01_RGB.png"",""mode"":1}")</f>
        <v>{"url":"https://us.pandora.net/on/demandware.static/-/Sites-pandora-master-catalog/default/dwbb259ca6/productimages/singlepackshot/393743C01_RGB.png","mode":1}</v>
      </c>
      <c r="D2079" s="5" t="str">
        <f ca="1">IFERROR(ROWSDUMMYFUNCTION(IF(A2079="","",CONCATENATE("https://us.pandora.net/on/demandware.static/-/Sites-pandora-master-catalog/default/dwbb259ca6/productimages/singlepackshot/",LEFT(A2079,FIND("-",A2079&amp;"-")-1),"_RGB.png"))),"https://us.pandora.net/on/demandware.static/-/Sites-pandora-master-catalog/default/dwbb259ca6/productimages/singlepackshot/393743C01_RGB.png")</f>
        <v>https://us.pandora.net/on/demandware.static/-/Sites-pandora-master-catalog/default/dwbb259ca6/productimages/singlepackshot/393743C01_RGB.png</v>
      </c>
    </row>
    <row r="2080" spans="1:4" x14ac:dyDescent="0.25">
      <c r="A2080" s="3" t="s">
        <v>2082</v>
      </c>
      <c r="B2080" s="4">
        <v>69</v>
      </c>
      <c r="C2080" s="3" t="str">
        <f ca="1">IFERROR(ROWSDUMMYFUNCTION(IF(A2080="","",IFERROR(IMAGE(CONCATENATE("https://us.pandora.net/on/demandware.static/-/Sites-pandora-master-catalog/default/dwbb259ca6/productimages/singlepackshot/",LEFT(A2080,FIND("-",A2080&amp;"-")-1),"_RGB.png")),""))),"{""url"":""https://us.pandora.net/on/demandware.static/-/Sites-pandora-master-catalog/default/dwbb259ca6/productimages/singlepackshot/393762C01_RGB.png"",""mode"":1}")</f>
        <v>{"url":"https://us.pandora.net/on/demandware.static/-/Sites-pandora-master-catalog/default/dwbb259ca6/productimages/singlepackshot/393762C01_RGB.png","mode":1}</v>
      </c>
      <c r="D2080" s="5" t="str">
        <f ca="1">IFERROR(ROWSDUMMYFUNCTION(IF(A2080="","",CONCATENATE("https://us.pandora.net/on/demandware.static/-/Sites-pandora-master-catalog/default/dwbb259ca6/productimages/singlepackshot/",LEFT(A2080,FIND("-",A2080&amp;"-")-1),"_RGB.png"))),"https://us.pandora.net/on/demandware.static/-/Sites-pandora-master-catalog/default/dwbb259ca6/productimages/singlepackshot/393762C01_RGB.png")</f>
        <v>https://us.pandora.net/on/demandware.static/-/Sites-pandora-master-catalog/default/dwbb259ca6/productimages/singlepackshot/393762C01_RGB.png</v>
      </c>
    </row>
    <row r="2081" spans="1:4" x14ac:dyDescent="0.25">
      <c r="A2081" s="3" t="s">
        <v>2083</v>
      </c>
      <c r="B2081" s="4">
        <v>89</v>
      </c>
      <c r="C2081" s="3" t="str">
        <f ca="1">IFERROR(ROWSDUMMYFUNCTION(IF(A2081="","",IFERROR(IMAGE(CONCATENATE("https://us.pandora.net/on/demandware.static/-/Sites-pandora-master-catalog/default/dwbb259ca6/productimages/singlepackshot/",LEFT(A2081,FIND("-",A2081&amp;"-")-1),"_RGB.png")),""))),"{""url"":""https://us.pandora.net/on/demandware.static/-/Sites-pandora-master-catalog/default/dwbb259ca6/productimages/singlepackshot/393776C01_RGB.png"",""mode"":1}")</f>
        <v>{"url":"https://us.pandora.net/on/demandware.static/-/Sites-pandora-master-catalog/default/dwbb259ca6/productimages/singlepackshot/393776C01_RGB.png","mode":1}</v>
      </c>
      <c r="D2081" s="5" t="str">
        <f ca="1">IFERROR(ROWSDUMMYFUNCTION(IF(A2081="","",CONCATENATE("https://us.pandora.net/on/demandware.static/-/Sites-pandora-master-catalog/default/dwbb259ca6/productimages/singlepackshot/",LEFT(A2081,FIND("-",A2081&amp;"-")-1),"_RGB.png"))),"https://us.pandora.net/on/demandware.static/-/Sites-pandora-master-catalog/default/dwbb259ca6/productimages/singlepackshot/393776C01_RGB.png")</f>
        <v>https://us.pandora.net/on/demandware.static/-/Sites-pandora-master-catalog/default/dwbb259ca6/productimages/singlepackshot/393776C01_RGB.png</v>
      </c>
    </row>
    <row r="2082" spans="1:4" x14ac:dyDescent="0.25">
      <c r="A2082" s="3" t="s">
        <v>2084</v>
      </c>
      <c r="B2082" s="4">
        <v>159</v>
      </c>
      <c r="C2082" s="3" t="str">
        <f ca="1">IFERROR(ROWSDUMMYFUNCTION(IF(A2082="","",IFERROR(IMAGE(CONCATENATE("https://us.pandora.net/on/demandware.static/-/Sites-pandora-master-catalog/default/dwbb259ca6/productimages/singlepackshot/",LEFT(A2082,FIND("-",A2082&amp;"-")-1),"_RGB.png")),""))),"{""url"":""https://us.pandora.net/on/demandware.static/-/Sites-pandora-master-catalog/default/dwbb259ca6/productimages/singlepackshot/393806C01_RGB.png"",""mode"":1}")</f>
        <v>{"url":"https://us.pandora.net/on/demandware.static/-/Sites-pandora-master-catalog/default/dwbb259ca6/productimages/singlepackshot/393806C01_RGB.png","mode":1}</v>
      </c>
      <c r="D2082" s="5" t="str">
        <f ca="1">IFERROR(ROWSDUMMYFUNCTION(IF(A2082="","",CONCATENATE("https://us.pandora.net/on/demandware.static/-/Sites-pandora-master-catalog/default/dwbb259ca6/productimages/singlepackshot/",LEFT(A2082,FIND("-",A2082&amp;"-")-1),"_RGB.png"))),"https://us.pandora.net/on/demandware.static/-/Sites-pandora-master-catalog/default/dwbb259ca6/productimages/singlepackshot/393806C01_RGB.png")</f>
        <v>https://us.pandora.net/on/demandware.static/-/Sites-pandora-master-catalog/default/dwbb259ca6/productimages/singlepackshot/393806C01_RGB.png</v>
      </c>
    </row>
    <row r="2083" spans="1:4" x14ac:dyDescent="0.25">
      <c r="A2083" s="3" t="s">
        <v>2085</v>
      </c>
      <c r="B2083" s="4">
        <v>119</v>
      </c>
      <c r="C2083" s="3" t="str">
        <f ca="1">IFERROR(ROWSDUMMYFUNCTION(IF(A2083="","",IFERROR(IMAGE(CONCATENATE("https://us.pandora.net/on/demandware.static/-/Sites-pandora-master-catalog/default/dwbb259ca6/productimages/singlepackshot/",LEFT(A2083,FIND("-",A2083&amp;"-")-1),"_RGB.png")),""))),"{""url"":""https://us.pandora.net/on/demandware.static/-/Sites-pandora-master-catalog/default/dwbb259ca6/productimages/singlepackshot/393861C00_RGB.png"",""mode"":1}")</f>
        <v>{"url":"https://us.pandora.net/on/demandware.static/-/Sites-pandora-master-catalog/default/dwbb259ca6/productimages/singlepackshot/393861C00_RGB.png","mode":1}</v>
      </c>
      <c r="D2083" s="5" t="str">
        <f ca="1">IFERROR(ROWSDUMMYFUNCTION(IF(A2083="","",CONCATENATE("https://us.pandora.net/on/demandware.static/-/Sites-pandora-master-catalog/default/dwbb259ca6/productimages/singlepackshot/",LEFT(A2083,FIND("-",A2083&amp;"-")-1),"_RGB.png"))),"https://us.pandora.net/on/demandware.static/-/Sites-pandora-master-catalog/default/dwbb259ca6/productimages/singlepackshot/393861C00_RGB.png")</f>
        <v>https://us.pandora.net/on/demandware.static/-/Sites-pandora-master-catalog/default/dwbb259ca6/productimages/singlepackshot/393861C00_RGB.png</v>
      </c>
    </row>
    <row r="2084" spans="1:4" x14ac:dyDescent="0.25">
      <c r="A2084" s="3" t="s">
        <v>2086</v>
      </c>
      <c r="B2084" s="4">
        <v>59</v>
      </c>
      <c r="C2084" s="3" t="str">
        <f ca="1">IFERROR(ROWSDUMMYFUNCTION(IF(A2084="","",IFERROR(IMAGE(CONCATENATE("https://us.pandora.net/on/demandware.static/-/Sites-pandora-master-catalog/default/dwbb259ca6/productimages/singlepackshot/",LEFT(A2084,FIND("-",A2084&amp;"-")-1),"_RGB.png")),""))),"{""url"":""https://us.pandora.net/on/demandware.static/-/Sites-pandora-master-catalog/default/dwbb259ca6/productimages/singlepackshot/393899C00_RGB.png"",""mode"":1}")</f>
        <v>{"url":"https://us.pandora.net/on/demandware.static/-/Sites-pandora-master-catalog/default/dwbb259ca6/productimages/singlepackshot/393899C00_RGB.png","mode":1}</v>
      </c>
      <c r="D2084" s="5" t="str">
        <f ca="1">IFERROR(ROWSDUMMYFUNCTION(IF(A2084="","",CONCATENATE("https://us.pandora.net/on/demandware.static/-/Sites-pandora-master-catalog/default/dwbb259ca6/productimages/singlepackshot/",LEFT(A2084,FIND("-",A2084&amp;"-")-1),"_RGB.png"))),"https://us.pandora.net/on/demandware.static/-/Sites-pandora-master-catalog/default/dwbb259ca6/productimages/singlepackshot/393899C00_RGB.png")</f>
        <v>https://us.pandora.net/on/demandware.static/-/Sites-pandora-master-catalog/default/dwbb259ca6/productimages/singlepackshot/393899C00_RGB.png</v>
      </c>
    </row>
    <row r="2085" spans="1:4" x14ac:dyDescent="0.25">
      <c r="A2085" s="3" t="s">
        <v>2087</v>
      </c>
      <c r="B2085" s="4">
        <v>49</v>
      </c>
      <c r="C2085" s="3" t="str">
        <f ca="1">IFERROR(ROWSDUMMYFUNCTION(IF(A2085="","",IFERROR(IMAGE(CONCATENATE("https://us.pandora.net/on/demandware.static/-/Sites-pandora-master-catalog/default/dwbb259ca6/productimages/singlepackshot/",LEFT(A2085,FIND("-",A2085&amp;"-")-1),"_RGB.png")),""))),"{""url"":""https://us.pandora.net/on/demandware.static/-/Sites-pandora-master-catalog/default/dwbb259ca6/productimages/singlepackshot/394007C01_RGB.png"",""mode"":1}")</f>
        <v>{"url":"https://us.pandora.net/on/demandware.static/-/Sites-pandora-master-catalog/default/dwbb259ca6/productimages/singlepackshot/394007C01_RGB.png","mode":1}</v>
      </c>
      <c r="D2085" s="5" t="str">
        <f ca="1">IFERROR(ROWSDUMMYFUNCTION(IF(A2085="","",CONCATENATE("https://us.pandora.net/on/demandware.static/-/Sites-pandora-master-catalog/default/dwbb259ca6/productimages/singlepackshot/",LEFT(A2085,FIND("-",A2085&amp;"-")-1),"_RGB.png"))),"https://us.pandora.net/on/demandware.static/-/Sites-pandora-master-catalog/default/dwbb259ca6/productimages/singlepackshot/394007C01_RGB.png")</f>
        <v>https://us.pandora.net/on/demandware.static/-/Sites-pandora-master-catalog/default/dwbb259ca6/productimages/singlepackshot/394007C01_RGB.png</v>
      </c>
    </row>
    <row r="2086" spans="1:4" x14ac:dyDescent="0.25">
      <c r="A2086" s="3" t="s">
        <v>2088</v>
      </c>
      <c r="B2086" s="4">
        <v>49</v>
      </c>
      <c r="C2086" s="3" t="str">
        <f ca="1">IFERROR(ROWSDUMMYFUNCTION(IF(A2086="","",IFERROR(IMAGE(CONCATENATE("https://us.pandora.net/on/demandware.static/-/Sites-pandora-master-catalog/default/dwbb259ca6/productimages/singlepackshot/",LEFT(A2086,FIND("-",A2086&amp;"-")-1),"_RGB.png")),""))),"{""url"":""https://us.pandora.net/on/demandware.static/-/Sites-pandora-master-catalog/default/dwbb259ca6/productimages/singlepackshot/394009C01_RGB.png"",""mode"":1}")</f>
        <v>{"url":"https://us.pandora.net/on/demandware.static/-/Sites-pandora-master-catalog/default/dwbb259ca6/productimages/singlepackshot/394009C01_RGB.png","mode":1}</v>
      </c>
      <c r="D2086" s="5" t="str">
        <f ca="1">IFERROR(ROWSDUMMYFUNCTION(IF(A2086="","",CONCATENATE("https://us.pandora.net/on/demandware.static/-/Sites-pandora-master-catalog/default/dwbb259ca6/productimages/singlepackshot/",LEFT(A2086,FIND("-",A2086&amp;"-")-1),"_RGB.png"))),"https://us.pandora.net/on/demandware.static/-/Sites-pandora-master-catalog/default/dwbb259ca6/productimages/singlepackshot/394009C01_RGB.png")</f>
        <v>https://us.pandora.net/on/demandware.static/-/Sites-pandora-master-catalog/default/dwbb259ca6/productimages/singlepackshot/394009C01_RGB.png</v>
      </c>
    </row>
    <row r="2087" spans="1:4" x14ac:dyDescent="0.25">
      <c r="A2087" s="3" t="s">
        <v>2089</v>
      </c>
      <c r="B2087" s="4">
        <v>79</v>
      </c>
      <c r="C2087" s="3" t="str">
        <f ca="1">IFERROR(ROWSDUMMYFUNCTION(IF(A2087="","",IFERROR(IMAGE(CONCATENATE("https://us.pandora.net/on/demandware.static/-/Sites-pandora-master-catalog/default/dwbb259ca6/productimages/singlepackshot/",LEFT(A2087,FIND("-",A2087&amp;"-")-1),"_RGB.png")),""))),"{""url"":""https://us.pandora.net/on/demandware.static/-/Sites-pandora-master-catalog/default/dwbb259ca6/productimages/singlepackshot/394012C01_RGB.png"",""mode"":1}")</f>
        <v>{"url":"https://us.pandora.net/on/demandware.static/-/Sites-pandora-master-catalog/default/dwbb259ca6/productimages/singlepackshot/394012C01_RGB.png","mode":1}</v>
      </c>
      <c r="D2087" s="5" t="str">
        <f ca="1">IFERROR(ROWSDUMMYFUNCTION(IF(A2087="","",CONCATENATE("https://us.pandora.net/on/demandware.static/-/Sites-pandora-master-catalog/default/dwbb259ca6/productimages/singlepackshot/",LEFT(A2087,FIND("-",A2087&amp;"-")-1),"_RGB.png"))),"https://us.pandora.net/on/demandware.static/-/Sites-pandora-master-catalog/default/dwbb259ca6/productimages/singlepackshot/394012C01_RGB.png")</f>
        <v>https://us.pandora.net/on/demandware.static/-/Sites-pandora-master-catalog/default/dwbb259ca6/productimages/singlepackshot/394012C01_RGB.png</v>
      </c>
    </row>
    <row r="2088" spans="1:4" x14ac:dyDescent="0.25">
      <c r="A2088" s="3" t="s">
        <v>2090</v>
      </c>
      <c r="B2088" s="4">
        <v>89</v>
      </c>
      <c r="C2088" s="3" t="str">
        <f ca="1">IFERROR(ROWSDUMMYFUNCTION(IF(A2088="","",IFERROR(IMAGE(CONCATENATE("https://us.pandora.net/on/demandware.static/-/Sites-pandora-master-catalog/default/dwbb259ca6/productimages/singlepackshot/",LEFT(A2088,FIND("-",A2088&amp;"-")-1),"_RGB.png")),""))),"{""url"":""https://us.pandora.net/on/demandware.static/-/Sites-pandora-master-catalog/default/dwbb259ca6/productimages/singlepackshot/394013C01_RGB.png"",""mode"":1}")</f>
        <v>{"url":"https://us.pandora.net/on/demandware.static/-/Sites-pandora-master-catalog/default/dwbb259ca6/productimages/singlepackshot/394013C01_RGB.png","mode":1}</v>
      </c>
      <c r="D2088" s="5" t="str">
        <f ca="1">IFERROR(ROWSDUMMYFUNCTION(IF(A2088="","",CONCATENATE("https://us.pandora.net/on/demandware.static/-/Sites-pandora-master-catalog/default/dwbb259ca6/productimages/singlepackshot/",LEFT(A2088,FIND("-",A2088&amp;"-")-1),"_RGB.png"))),"https://us.pandora.net/on/demandware.static/-/Sites-pandora-master-catalog/default/dwbb259ca6/productimages/singlepackshot/394013C01_RGB.png")</f>
        <v>https://us.pandora.net/on/demandware.static/-/Sites-pandora-master-catalog/default/dwbb259ca6/productimages/singlepackshot/394013C01_RGB.png</v>
      </c>
    </row>
    <row r="2089" spans="1:4" x14ac:dyDescent="0.25">
      <c r="A2089" s="3" t="s">
        <v>2091</v>
      </c>
      <c r="B2089" s="4">
        <v>49</v>
      </c>
      <c r="C2089" s="3" t="str">
        <f ca="1">IFERROR(ROWSDUMMYFUNCTION(IF(A2089="","",IFERROR(IMAGE(CONCATENATE("https://us.pandora.net/on/demandware.static/-/Sites-pandora-master-catalog/default/dwbb259ca6/productimages/singlepackshot/",LEFT(A2089,FIND("-",A2089&amp;"-")-1),"_RGB.png")),""))),"{""url"":""https://us.pandora.net/on/demandware.static/-/Sites-pandora-master-catalog/default/dwbb259ca6/productimages/singlepackshot/394014C00_RGB.png"",""mode"":1}")</f>
        <v>{"url":"https://us.pandora.net/on/demandware.static/-/Sites-pandora-master-catalog/default/dwbb259ca6/productimages/singlepackshot/394014C00_RGB.png","mode":1}</v>
      </c>
      <c r="D2089" s="5" t="str">
        <f ca="1">IFERROR(ROWSDUMMYFUNCTION(IF(A2089="","",CONCATENATE("https://us.pandora.net/on/demandware.static/-/Sites-pandora-master-catalog/default/dwbb259ca6/productimages/singlepackshot/",LEFT(A2089,FIND("-",A2089&amp;"-")-1),"_RGB.png"))),"https://us.pandora.net/on/demandware.static/-/Sites-pandora-master-catalog/default/dwbb259ca6/productimages/singlepackshot/394014C00_RGB.png")</f>
        <v>https://us.pandora.net/on/demandware.static/-/Sites-pandora-master-catalog/default/dwbb259ca6/productimages/singlepackshot/394014C00_RGB.png</v>
      </c>
    </row>
    <row r="2090" spans="1:4" x14ac:dyDescent="0.25">
      <c r="A2090" s="3" t="s">
        <v>2092</v>
      </c>
      <c r="B2090" s="4">
        <v>79</v>
      </c>
      <c r="C2090" s="3" t="str">
        <f ca="1">IFERROR(ROWSDUMMYFUNCTION(IF(A2090="","",IFERROR(IMAGE(CONCATENATE("https://us.pandora.net/on/demandware.static/-/Sites-pandora-master-catalog/default/dwbb259ca6/productimages/singlepackshot/",LEFT(A2090,FIND("-",A2090&amp;"-")-1),"_RGB.png")),""))),"{""url"":""https://us.pandora.net/on/demandware.static/-/Sites-pandora-master-catalog/default/dwbb259ca6/productimages/singlepackshot/394086C01_RGB.png"",""mode"":1}")</f>
        <v>{"url":"https://us.pandora.net/on/demandware.static/-/Sites-pandora-master-catalog/default/dwbb259ca6/productimages/singlepackshot/394086C01_RGB.png","mode":1}</v>
      </c>
      <c r="D2090" s="5" t="str">
        <f ca="1">IFERROR(ROWSDUMMYFUNCTION(IF(A2090="","",CONCATENATE("https://us.pandora.net/on/demandware.static/-/Sites-pandora-master-catalog/default/dwbb259ca6/productimages/singlepackshot/",LEFT(A2090,FIND("-",A2090&amp;"-")-1),"_RGB.png"))),"https://us.pandora.net/on/demandware.static/-/Sites-pandora-master-catalog/default/dwbb259ca6/productimages/singlepackshot/394086C01_RGB.png")</f>
        <v>https://us.pandora.net/on/demandware.static/-/Sites-pandora-master-catalog/default/dwbb259ca6/productimages/singlepackshot/394086C01_RGB.png</v>
      </c>
    </row>
    <row r="2091" spans="1:4" x14ac:dyDescent="0.25">
      <c r="A2091" s="3" t="s">
        <v>2093</v>
      </c>
      <c r="B2091" s="4">
        <v>159</v>
      </c>
      <c r="C2091" s="3" t="str">
        <f ca="1">IFERROR(ROWSDUMMYFUNCTION(IF(A2091="","",IFERROR(IMAGE(CONCATENATE("https://us.pandora.net/on/demandware.static/-/Sites-pandora-master-catalog/default/dwbb259ca6/productimages/singlepackshot/",LEFT(A2091,FIND("-",A2091&amp;"-")-1),"_RGB.png")),""))),"{""url"":""https://us.pandora.net/on/demandware.static/-/Sites-pandora-master-catalog/default/dwbb259ca6/productimages/singlepackshot/394231C01_RGB.png"",""mode"":1}")</f>
        <v>{"url":"https://us.pandora.net/on/demandware.static/-/Sites-pandora-master-catalog/default/dwbb259ca6/productimages/singlepackshot/394231C01_RGB.png","mode":1}</v>
      </c>
      <c r="D2091" s="5" t="str">
        <f ca="1">IFERROR(ROWSDUMMYFUNCTION(IF(A2091="","",CONCATENATE("https://us.pandora.net/on/demandware.static/-/Sites-pandora-master-catalog/default/dwbb259ca6/productimages/singlepackshot/",LEFT(A2091,FIND("-",A2091&amp;"-")-1),"_RGB.png"))),"https://us.pandora.net/on/demandware.static/-/Sites-pandora-master-catalog/default/dwbb259ca6/productimages/singlepackshot/394231C01_RGB.png")</f>
        <v>https://us.pandora.net/on/demandware.static/-/Sites-pandora-master-catalog/default/dwbb259ca6/productimages/singlepackshot/394231C01_RGB.png</v>
      </c>
    </row>
    <row r="2092" spans="1:4" x14ac:dyDescent="0.25">
      <c r="A2092" s="3" t="s">
        <v>2094</v>
      </c>
      <c r="B2092" s="4">
        <v>79</v>
      </c>
      <c r="C2092" s="3" t="str">
        <f ca="1">IFERROR(ROWSDUMMYFUNCTION(IF(A2092="","",IFERROR(IMAGE(CONCATENATE("https://us.pandora.net/on/demandware.static/-/Sites-pandora-master-catalog/default/dwbb259ca6/productimages/singlepackshot/",LEFT(A2092,FIND("-",A2092&amp;"-")-1),"_RGB.png")),""))),"{""url"":""https://us.pandora.net/on/demandware.static/-/Sites-pandora-master-catalog/default/dwbb259ca6/productimages/singlepackshot/394232C01_RGB.png"",""mode"":1}")</f>
        <v>{"url":"https://us.pandora.net/on/demandware.static/-/Sites-pandora-master-catalog/default/dwbb259ca6/productimages/singlepackshot/394232C01_RGB.png","mode":1}</v>
      </c>
      <c r="D2092" s="5" t="str">
        <f ca="1">IFERROR(ROWSDUMMYFUNCTION(IF(A2092="","",CONCATENATE("https://us.pandora.net/on/demandware.static/-/Sites-pandora-master-catalog/default/dwbb259ca6/productimages/singlepackshot/",LEFT(A2092,FIND("-",A2092&amp;"-")-1),"_RGB.png"))),"https://us.pandora.net/on/demandware.static/-/Sites-pandora-master-catalog/default/dwbb259ca6/productimages/singlepackshot/394232C01_RGB.png")</f>
        <v>https://us.pandora.net/on/demandware.static/-/Sites-pandora-master-catalog/default/dwbb259ca6/productimages/singlepackshot/394232C01_RGB.png</v>
      </c>
    </row>
    <row r="2093" spans="1:4" x14ac:dyDescent="0.25">
      <c r="A2093" s="3" t="s">
        <v>2095</v>
      </c>
      <c r="B2093" s="4">
        <v>79</v>
      </c>
      <c r="C2093" s="3" t="str">
        <f ca="1">IFERROR(ROWSDUMMYFUNCTION(IF(A2093="","",IFERROR(IMAGE(CONCATENATE("https://us.pandora.net/on/demandware.static/-/Sites-pandora-master-catalog/default/dwbb259ca6/productimages/singlepackshot/",LEFT(A2093,FIND("-",A2093&amp;"-")-1),"_RGB.png")),""))),"{""url"":""https://us.pandora.net/on/demandware.static/-/Sites-pandora-master-catalog/default/dwbb259ca6/productimages/singlepackshot/394235C01_RGB.png"",""mode"":1}")</f>
        <v>{"url":"https://us.pandora.net/on/demandware.static/-/Sites-pandora-master-catalog/default/dwbb259ca6/productimages/singlepackshot/394235C01_RGB.png","mode":1}</v>
      </c>
      <c r="D2093" s="5" t="str">
        <f ca="1">IFERROR(ROWSDUMMYFUNCTION(IF(A2093="","",CONCATENATE("https://us.pandora.net/on/demandware.static/-/Sites-pandora-master-catalog/default/dwbb259ca6/productimages/singlepackshot/",LEFT(A2093,FIND("-",A2093&amp;"-")-1),"_RGB.png"))),"https://us.pandora.net/on/demandware.static/-/Sites-pandora-master-catalog/default/dwbb259ca6/productimages/singlepackshot/394235C01_RGB.png")</f>
        <v>https://us.pandora.net/on/demandware.static/-/Sites-pandora-master-catalog/default/dwbb259ca6/productimages/singlepackshot/394235C01_RGB.png</v>
      </c>
    </row>
    <row r="2094" spans="1:4" x14ac:dyDescent="0.25">
      <c r="A2094" s="3" t="s">
        <v>2096</v>
      </c>
      <c r="B2094" s="4">
        <v>69</v>
      </c>
      <c r="C2094" s="3" t="str">
        <f ca="1">IFERROR(ROWSDUMMYFUNCTION(IF(A2094="","",IFERROR(IMAGE(CONCATENATE("https://us.pandora.net/on/demandware.static/-/Sites-pandora-master-catalog/default/dwbb259ca6/productimages/singlepackshot/",LEFT(A2094,FIND("-",A2094&amp;"-")-1),"_RGB.png")),""))),"{""url"":""https://us.pandora.net/on/demandware.static/-/Sites-pandora-master-catalog/default/dwbb259ca6/productimages/singlepackshot/394259C01_RGB.png"",""mode"":1}")</f>
        <v>{"url":"https://us.pandora.net/on/demandware.static/-/Sites-pandora-master-catalog/default/dwbb259ca6/productimages/singlepackshot/394259C01_RGB.png","mode":1}</v>
      </c>
      <c r="D2094" s="5" t="str">
        <f ca="1">IFERROR(ROWSDUMMYFUNCTION(IF(A2094="","",CONCATENATE("https://us.pandora.net/on/demandware.static/-/Sites-pandora-master-catalog/default/dwbb259ca6/productimages/singlepackshot/",LEFT(A2094,FIND("-",A2094&amp;"-")-1),"_RGB.png"))),"https://us.pandora.net/on/demandware.static/-/Sites-pandora-master-catalog/default/dwbb259ca6/productimages/singlepackshot/394259C01_RGB.png")</f>
        <v>https://us.pandora.net/on/demandware.static/-/Sites-pandora-master-catalog/default/dwbb259ca6/productimages/singlepackshot/394259C01_RGB.png</v>
      </c>
    </row>
    <row r="2095" spans="1:4" x14ac:dyDescent="0.25">
      <c r="A2095" s="3" t="s">
        <v>2097</v>
      </c>
      <c r="B2095" s="4">
        <v>59</v>
      </c>
      <c r="C2095" s="3" t="str">
        <f ca="1">IFERROR(ROWSDUMMYFUNCTION(IF(A2095="","",IFERROR(IMAGE(CONCATENATE("https://us.pandora.net/on/demandware.static/-/Sites-pandora-master-catalog/default/dwbb259ca6/productimages/singlepackshot/",LEFT(A2095,FIND("-",A2095&amp;"-")-1),"_RGB.png")),""))),"{""url"":""https://us.pandora.net/on/demandware.static/-/Sites-pandora-master-catalog/default/dwbb259ca6/productimages/singlepackshot/394266C01_RGB.png"",""mode"":1}")</f>
        <v>{"url":"https://us.pandora.net/on/demandware.static/-/Sites-pandora-master-catalog/default/dwbb259ca6/productimages/singlepackshot/394266C01_RGB.png","mode":1}</v>
      </c>
      <c r="D2095" s="5" t="str">
        <f ca="1">IFERROR(ROWSDUMMYFUNCTION(IF(A2095="","",CONCATENATE("https://us.pandora.net/on/demandware.static/-/Sites-pandora-master-catalog/default/dwbb259ca6/productimages/singlepackshot/",LEFT(A2095,FIND("-",A2095&amp;"-")-1),"_RGB.png"))),"https://us.pandora.net/on/demandware.static/-/Sites-pandora-master-catalog/default/dwbb259ca6/productimages/singlepackshot/394266C01_RGB.png")</f>
        <v>https://us.pandora.net/on/demandware.static/-/Sites-pandora-master-catalog/default/dwbb259ca6/productimages/singlepackshot/394266C01_RGB.png</v>
      </c>
    </row>
    <row r="2096" spans="1:4" x14ac:dyDescent="0.25">
      <c r="A2096" s="3" t="s">
        <v>2098</v>
      </c>
      <c r="B2096" s="4">
        <v>79</v>
      </c>
      <c r="C2096" s="3" t="str">
        <f ca="1">IFERROR(ROWSDUMMYFUNCTION(IF(A2096="","",IFERROR(IMAGE(CONCATENATE("https://us.pandora.net/on/demandware.static/-/Sites-pandora-master-catalog/default/dwbb259ca6/productimages/singlepackshot/",LEFT(A2096,FIND("-",A2096&amp;"-")-1),"_RGB.png")),""))),"{""url"":""https://us.pandora.net/on/demandware.static/-/Sites-pandora-master-catalog/default/dwbb259ca6/productimages/singlepackshot/396240CZ_RGB.png"",""mode"":1}")</f>
        <v>{"url":"https://us.pandora.net/on/demandware.static/-/Sites-pandora-master-catalog/default/dwbb259ca6/productimages/singlepackshot/396240CZ_RGB.png","mode":1}</v>
      </c>
      <c r="D2096" s="5" t="str">
        <f ca="1">IFERROR(ROWSDUMMYFUNCTION(IF(A2096="","",CONCATENATE("https://us.pandora.net/on/demandware.static/-/Sites-pandora-master-catalog/default/dwbb259ca6/productimages/singlepackshot/",LEFT(A2096,FIND("-",A2096&amp;"-")-1),"_RGB.png"))),"https://us.pandora.net/on/demandware.static/-/Sites-pandora-master-catalog/default/dwbb259ca6/productimages/singlepackshot/396240CZ_RGB.png")</f>
        <v>https://us.pandora.net/on/demandware.static/-/Sites-pandora-master-catalog/default/dwbb259ca6/productimages/singlepackshot/396240CZ_RGB.png</v>
      </c>
    </row>
    <row r="2097" spans="1:4" x14ac:dyDescent="0.25">
      <c r="A2097" s="3" t="s">
        <v>2099</v>
      </c>
      <c r="B2097" s="4">
        <v>79</v>
      </c>
      <c r="C2097" s="3" t="str">
        <f ca="1">IFERROR(ROWSDUMMYFUNCTION(IF(A2097="","",IFERROR(IMAGE(CONCATENATE("https://us.pandora.net/on/demandware.static/-/Sites-pandora-master-catalog/default/dwbb259ca6/productimages/singlepackshot/",LEFT(A2097,FIND("-",A2097&amp;"-")-1),"_RGB.png")),""))),"{""url"":""https://us.pandora.net/on/demandware.static/-/Sites-pandora-master-catalog/default/dwbb259ca6/productimages/singlepackshot/396241CZ_RGB.png"",""mode"":1}")</f>
        <v>{"url":"https://us.pandora.net/on/demandware.static/-/Sites-pandora-master-catalog/default/dwbb259ca6/productimages/singlepackshot/396241CZ_RGB.png","mode":1}</v>
      </c>
      <c r="D2097" s="5" t="str">
        <f ca="1">IFERROR(ROWSDUMMYFUNCTION(IF(A2097="","",CONCATENATE("https://us.pandora.net/on/demandware.static/-/Sites-pandora-master-catalog/default/dwbb259ca6/productimages/singlepackshot/",LEFT(A2097,FIND("-",A2097&amp;"-")-1),"_RGB.png"))),"https://us.pandora.net/on/demandware.static/-/Sites-pandora-master-catalog/default/dwbb259ca6/productimages/singlepackshot/396241CZ_RGB.png")</f>
        <v>https://us.pandora.net/on/demandware.static/-/Sites-pandora-master-catalog/default/dwbb259ca6/productimages/singlepackshot/396241CZ_RGB.png</v>
      </c>
    </row>
    <row r="2098" spans="1:4" x14ac:dyDescent="0.25">
      <c r="A2098" s="3" t="s">
        <v>2100</v>
      </c>
      <c r="B2098" s="4">
        <v>69</v>
      </c>
      <c r="C2098" s="3" t="str">
        <f ca="1">IFERROR(ROWSDUMMYFUNCTION(IF(A2098="","",IFERROR(IMAGE(CONCATENATE("https://us.pandora.net/on/demandware.static/-/Sites-pandora-master-catalog/default/dwbb259ca6/productimages/singlepackshot/",LEFT(A2098,FIND("-",A2098&amp;"-")-1),"_RGB.png")),""))),"{""url"":""https://us.pandora.net/on/demandware.static/-/Sites-pandora-master-catalog/default/dwbb259ca6/productimages/singlepackshot/397436CZ_RGB.png"",""mode"":1}")</f>
        <v>{"url":"https://us.pandora.net/on/demandware.static/-/Sites-pandora-master-catalog/default/dwbb259ca6/productimages/singlepackshot/397436CZ_RGB.png","mode":1}</v>
      </c>
      <c r="D2098" s="5" t="str">
        <f ca="1">IFERROR(ROWSDUMMYFUNCTION(IF(A2098="","",CONCATENATE("https://us.pandora.net/on/demandware.static/-/Sites-pandora-master-catalog/default/dwbb259ca6/productimages/singlepackshot/",LEFT(A2098,FIND("-",A2098&amp;"-")-1),"_RGB.png"))),"https://us.pandora.net/on/demandware.static/-/Sites-pandora-master-catalog/default/dwbb259ca6/productimages/singlepackshot/397436CZ_RGB.png")</f>
        <v>https://us.pandora.net/on/demandware.static/-/Sites-pandora-master-catalog/default/dwbb259ca6/productimages/singlepackshot/397436CZ_RGB.png</v>
      </c>
    </row>
    <row r="2099" spans="1:4" x14ac:dyDescent="0.25">
      <c r="A2099" s="3" t="s">
        <v>2101</v>
      </c>
      <c r="B2099" s="4">
        <v>59</v>
      </c>
      <c r="C2099" s="3" t="str">
        <f ca="1">IFERROR(ROWSDUMMYFUNCTION(IF(A2099="","",IFERROR(IMAGE(CONCATENATE("https://us.pandora.net/on/demandware.static/-/Sites-pandora-master-catalog/default/dwbb259ca6/productimages/singlepackshot/",LEFT(A2099,FIND("-",A2099&amp;"-")-1),"_RGB.png")),""))),"{""url"":""https://us.pandora.net/on/demandware.static/-/Sites-pandora-master-catalog/default/dwbb259ca6/productimages/singlepackshot/397571CZ_RGB.png"",""mode"":1}")</f>
        <v>{"url":"https://us.pandora.net/on/demandware.static/-/Sites-pandora-master-catalog/default/dwbb259ca6/productimages/singlepackshot/397571CZ_RGB.png","mode":1}</v>
      </c>
      <c r="D2099" s="5" t="str">
        <f ca="1">IFERROR(ROWSDUMMYFUNCTION(IF(A2099="","",CONCATENATE("https://us.pandora.net/on/demandware.static/-/Sites-pandora-master-catalog/default/dwbb259ca6/productimages/singlepackshot/",LEFT(A2099,FIND("-",A2099&amp;"-")-1),"_RGB.png"))),"https://us.pandora.net/on/demandware.static/-/Sites-pandora-master-catalog/default/dwbb259ca6/productimages/singlepackshot/397571CZ_RGB.png")</f>
        <v>https://us.pandora.net/on/demandware.static/-/Sites-pandora-master-catalog/default/dwbb259ca6/productimages/singlepackshot/397571CZ_RGB.png</v>
      </c>
    </row>
    <row r="2100" spans="1:4" x14ac:dyDescent="0.25">
      <c r="A2100" s="3" t="s">
        <v>2102</v>
      </c>
      <c r="B2100" s="4">
        <v>59</v>
      </c>
      <c r="C2100" s="3" t="str">
        <f ca="1">IFERROR(ROWSDUMMYFUNCTION(IF(A2100="","",IFERROR(IMAGE(CONCATENATE("https://us.pandora.net/on/demandware.static/-/Sites-pandora-master-catalog/default/dwbb259ca6/productimages/singlepackshot/",LEFT(A2100,FIND("-",A2100&amp;"-")-1),"_RGB.png")),""))),"{""url"":""https://us.pandora.net/on/demandware.static/-/Sites-pandora-master-catalog/default/dwbb259ca6/productimages/singlepackshot/398283_RGB.png"",""mode"":1}")</f>
        <v>{"url":"https://us.pandora.net/on/demandware.static/-/Sites-pandora-master-catalog/default/dwbb259ca6/productimages/singlepackshot/398283_RGB.png","mode":1}</v>
      </c>
      <c r="D2100" s="5" t="str">
        <f ca="1">IFERROR(ROWSDUMMYFUNCTION(IF(A2100="","",CONCATENATE("https://us.pandora.net/on/demandware.static/-/Sites-pandora-master-catalog/default/dwbb259ca6/productimages/singlepackshot/",LEFT(A2100,FIND("-",A2100&amp;"-")-1),"_RGB.png"))),"https://us.pandora.net/on/demandware.static/-/Sites-pandora-master-catalog/default/dwbb259ca6/productimages/singlepackshot/398283_RGB.png")</f>
        <v>https://us.pandora.net/on/demandware.static/-/Sites-pandora-master-catalog/default/dwbb259ca6/productimages/singlepackshot/398283_RGB.png</v>
      </c>
    </row>
    <row r="2101" spans="1:4" x14ac:dyDescent="0.25">
      <c r="A2101" s="3" t="s">
        <v>2103</v>
      </c>
      <c r="B2101" s="4">
        <v>49</v>
      </c>
      <c r="C2101" s="3" t="str">
        <f ca="1">IFERROR(ROWSDUMMYFUNCTION(IF(A2101="","",IFERROR(IMAGE(CONCATENATE("https://us.pandora.net/on/demandware.static/-/Sites-pandora-master-catalog/default/dwbb259ca6/productimages/singlepackshot/",LEFT(A2101,FIND("-",A2101&amp;"-")-1),"_RGB.png")),""))),"{""url"":""https://us.pandora.net/on/demandware.static/-/Sites-pandora-master-catalog/default/dwbb259ca6/productimages/singlepackshot/398296_RGB.png"",""mode"":1}")</f>
        <v>{"url":"https://us.pandora.net/on/demandware.static/-/Sites-pandora-master-catalog/default/dwbb259ca6/productimages/singlepackshot/398296_RGB.png","mode":1}</v>
      </c>
      <c r="D2101" s="5" t="str">
        <f ca="1">IFERROR(ROWSDUMMYFUNCTION(IF(A2101="","",CONCATENATE("https://us.pandora.net/on/demandware.static/-/Sites-pandora-master-catalog/default/dwbb259ca6/productimages/singlepackshot/",LEFT(A2101,FIND("-",A2101&amp;"-")-1),"_RGB.png"))),"https://us.pandora.net/on/demandware.static/-/Sites-pandora-master-catalog/default/dwbb259ca6/productimages/singlepackshot/398296_RGB.png")</f>
        <v>https://us.pandora.net/on/demandware.static/-/Sites-pandora-master-catalog/default/dwbb259ca6/productimages/singlepackshot/398296_RGB.png</v>
      </c>
    </row>
    <row r="2102" spans="1:4" x14ac:dyDescent="0.25">
      <c r="A2102" s="3" t="s">
        <v>2104</v>
      </c>
      <c r="B2102" s="4">
        <v>79</v>
      </c>
      <c r="C2102" s="3" t="str">
        <f ca="1">IFERROR(ROWSDUMMYFUNCTION(IF(A2102="","",IFERROR(IMAGE(CONCATENATE("https://us.pandora.net/on/demandware.static/-/Sites-pandora-master-catalog/default/dwbb259ca6/productimages/singlepackshot/",LEFT(A2102,FIND("-",A2102&amp;"-")-1),"_RGB.png")),""))),"{""url"":""https://us.pandora.net/on/demandware.static/-/Sites-pandora-master-catalog/default/dwbb259ca6/productimages/singlepackshot/398425C01_RGB.png"",""mode"":1}")</f>
        <v>{"url":"https://us.pandora.net/on/demandware.static/-/Sites-pandora-master-catalog/default/dwbb259ca6/productimages/singlepackshot/398425C01_RGB.png","mode":1}</v>
      </c>
      <c r="D2102" s="5" t="str">
        <f ca="1">IFERROR(ROWSDUMMYFUNCTION(IF(A2102="","",CONCATENATE("https://us.pandora.net/on/demandware.static/-/Sites-pandora-master-catalog/default/dwbb259ca6/productimages/singlepackshot/",LEFT(A2102,FIND("-",A2102&amp;"-")-1),"_RGB.png"))),"https://us.pandora.net/on/demandware.static/-/Sites-pandora-master-catalog/default/dwbb259ca6/productimages/singlepackshot/398425C01_RGB.png")</f>
        <v>https://us.pandora.net/on/demandware.static/-/Sites-pandora-master-catalog/default/dwbb259ca6/productimages/singlepackshot/398425C01_RGB.png</v>
      </c>
    </row>
    <row r="2103" spans="1:4" x14ac:dyDescent="0.25">
      <c r="A2103" s="3" t="s">
        <v>2105</v>
      </c>
      <c r="B2103" s="4">
        <v>79</v>
      </c>
      <c r="C2103" s="3" t="str">
        <f ca="1">IFERROR(ROWSDUMMYFUNCTION(IF(A2103="","",IFERROR(IMAGE(CONCATENATE("https://us.pandora.net/on/demandware.static/-/Sites-pandora-master-catalog/default/dwbb259ca6/productimages/singlepackshot/",LEFT(A2103,FIND("-",A2103&amp;"-")-1),"_RGB.png")),""))),"{""url"":""https://us.pandora.net/on/demandware.static/-/Sites-pandora-master-catalog/default/dwbb259ca6/productimages/singlepackshot/398425C02_RGB.png"",""mode"":1}")</f>
        <v>{"url":"https://us.pandora.net/on/demandware.static/-/Sites-pandora-master-catalog/default/dwbb259ca6/productimages/singlepackshot/398425C02_RGB.png","mode":1}</v>
      </c>
      <c r="D2103" s="5" t="str">
        <f ca="1">IFERROR(ROWSDUMMYFUNCTION(IF(A2103="","",CONCATENATE("https://us.pandora.net/on/demandware.static/-/Sites-pandora-master-catalog/default/dwbb259ca6/productimages/singlepackshot/",LEFT(A2103,FIND("-",A2103&amp;"-")-1),"_RGB.png"))),"https://us.pandora.net/on/demandware.static/-/Sites-pandora-master-catalog/default/dwbb259ca6/productimages/singlepackshot/398425C02_RGB.png")</f>
        <v>https://us.pandora.net/on/demandware.static/-/Sites-pandora-master-catalog/default/dwbb259ca6/productimages/singlepackshot/398425C02_RGB.png</v>
      </c>
    </row>
    <row r="2104" spans="1:4" x14ac:dyDescent="0.25">
      <c r="A2104" s="3" t="s">
        <v>2106</v>
      </c>
      <c r="B2104" s="4">
        <v>79</v>
      </c>
      <c r="C2104" s="3" t="str">
        <f ca="1">IFERROR(ROWSDUMMYFUNCTION(IF(A2104="","",IFERROR(IMAGE(CONCATENATE("https://us.pandora.net/on/demandware.static/-/Sites-pandora-master-catalog/default/dwbb259ca6/productimages/singlepackshot/",LEFT(A2104,FIND("-",A2104&amp;"-")-1),"_RGB.png")),""))),"{""url"":""https://us.pandora.net/on/demandware.static/-/Sites-pandora-master-catalog/default/dwbb259ca6/productimages/singlepackshot/398425C03_RGB.png"",""mode"":1}")</f>
        <v>{"url":"https://us.pandora.net/on/demandware.static/-/Sites-pandora-master-catalog/default/dwbb259ca6/productimages/singlepackshot/398425C03_RGB.png","mode":1}</v>
      </c>
      <c r="D2104" s="5" t="str">
        <f ca="1">IFERROR(ROWSDUMMYFUNCTION(IF(A2104="","",CONCATENATE("https://us.pandora.net/on/demandware.static/-/Sites-pandora-master-catalog/default/dwbb259ca6/productimages/singlepackshot/",LEFT(A2104,FIND("-",A2104&amp;"-")-1),"_RGB.png"))),"https://us.pandora.net/on/demandware.static/-/Sites-pandora-master-catalog/default/dwbb259ca6/productimages/singlepackshot/398425C03_RGB.png")</f>
        <v>https://us.pandora.net/on/demandware.static/-/Sites-pandora-master-catalog/default/dwbb259ca6/productimages/singlepackshot/398425C03_RGB.png</v>
      </c>
    </row>
    <row r="2105" spans="1:4" x14ac:dyDescent="0.25">
      <c r="A2105" s="3" t="s">
        <v>2107</v>
      </c>
      <c r="B2105" s="4">
        <v>29</v>
      </c>
      <c r="C2105" s="3" t="str">
        <f ca="1">IFERROR(ROWSDUMMYFUNCTION(IF(A2105="","",IFERROR(IMAGE(CONCATENATE("https://us.pandora.net/on/demandware.static/-/Sites-pandora-master-catalog/default/dwbb259ca6/productimages/singlepackshot/",LEFT(A2105,FIND("-",A2105&amp;"-")-1),"_RGB.png")),""))),"{""url"":""https://us.pandora.net/on/demandware.static/-/Sites-pandora-master-catalog/default/dwbb259ca6/productimages/singlepackshot/398610C00_RGB.png"",""mode"":1}")</f>
        <v>{"url":"https://us.pandora.net/on/demandware.static/-/Sites-pandora-master-catalog/default/dwbb259ca6/productimages/singlepackshot/398610C00_RGB.png","mode":1}</v>
      </c>
      <c r="D2105" s="5" t="str">
        <f ca="1">IFERROR(ROWSDUMMYFUNCTION(IF(A2105="","",CONCATENATE("https://us.pandora.net/on/demandware.static/-/Sites-pandora-master-catalog/default/dwbb259ca6/productimages/singlepackshot/",LEFT(A2105,FIND("-",A2105&amp;"-")-1),"_RGB.png"))),"https://us.pandora.net/on/demandware.static/-/Sites-pandora-master-catalog/default/dwbb259ca6/productimages/singlepackshot/398610C00_RGB.png")</f>
        <v>https://us.pandora.net/on/demandware.static/-/Sites-pandora-master-catalog/default/dwbb259ca6/productimages/singlepackshot/398610C00_RGB.png</v>
      </c>
    </row>
    <row r="2106" spans="1:4" x14ac:dyDescent="0.25">
      <c r="A2106" s="3" t="s">
        <v>2108</v>
      </c>
      <c r="B2106" s="4">
        <v>29</v>
      </c>
      <c r="C2106" s="3" t="str">
        <f ca="1">IFERROR(ROWSDUMMYFUNCTION(IF(A2106="","",IFERROR(IMAGE(CONCATENATE("https://us.pandora.net/on/demandware.static/-/Sites-pandora-master-catalog/default/dwbb259ca6/productimages/singlepackshot/",LEFT(A2106,FIND("-",A2106&amp;"-")-1),"_RGB.png")),""))),"{""url"":""https://us.pandora.net/on/demandware.static/-/Sites-pandora-master-catalog/default/dwbb259ca6/productimages/singlepackshot/398611C00_RGB.png"",""mode"":1}")</f>
        <v>{"url":"https://us.pandora.net/on/demandware.static/-/Sites-pandora-master-catalog/default/dwbb259ca6/productimages/singlepackshot/398611C00_RGB.png","mode":1}</v>
      </c>
      <c r="D2106" s="5" t="str">
        <f ca="1">IFERROR(ROWSDUMMYFUNCTION(IF(A2106="","",CONCATENATE("https://us.pandora.net/on/demandware.static/-/Sites-pandora-master-catalog/default/dwbb259ca6/productimages/singlepackshot/",LEFT(A2106,FIND("-",A2106&amp;"-")-1),"_RGB.png"))),"https://us.pandora.net/on/demandware.static/-/Sites-pandora-master-catalog/default/dwbb259ca6/productimages/singlepackshot/398611C00_RGB.png")</f>
        <v>https://us.pandora.net/on/demandware.static/-/Sites-pandora-master-catalog/default/dwbb259ca6/productimages/singlepackshot/398611C00_RGB.png</v>
      </c>
    </row>
    <row r="2107" spans="1:4" x14ac:dyDescent="0.25">
      <c r="A2107" s="3" t="s">
        <v>2109</v>
      </c>
      <c r="B2107" s="4">
        <v>69</v>
      </c>
      <c r="C2107" s="3" t="str">
        <f ca="1">IFERROR(ROWSDUMMYFUNCTION(IF(A2107="","",IFERROR(IMAGE(CONCATENATE("https://us.pandora.net/on/demandware.static/-/Sites-pandora-master-catalog/default/dwbb259ca6/productimages/singlepackshot/",LEFT(A2107,FIND("-",A2107&amp;"-")-1),"_RGB.png")),""))),"{""url"":""https://us.pandora.net/on/demandware.static/-/Sites-pandora-master-catalog/default/dwbb259ca6/productimages/singlepackshot/398821C01_RGB.png"",""mode"":1}")</f>
        <v>{"url":"https://us.pandora.net/on/demandware.static/-/Sites-pandora-master-catalog/default/dwbb259ca6/productimages/singlepackshot/398821C01_RGB.png","mode":1}</v>
      </c>
      <c r="D2107" s="5" t="str">
        <f ca="1">IFERROR(ROWSDUMMYFUNCTION(IF(A2107="","",CONCATENATE("https://us.pandora.net/on/demandware.static/-/Sites-pandora-master-catalog/default/dwbb259ca6/productimages/singlepackshot/",LEFT(A2107,FIND("-",A2107&amp;"-")-1),"_RGB.png"))),"https://us.pandora.net/on/demandware.static/-/Sites-pandora-master-catalog/default/dwbb259ca6/productimages/singlepackshot/398821C01_RGB.png")</f>
        <v>https://us.pandora.net/on/demandware.static/-/Sites-pandora-master-catalog/default/dwbb259ca6/productimages/singlepackshot/398821C01_RGB.png</v>
      </c>
    </row>
    <row r="2108" spans="1:4" x14ac:dyDescent="0.25">
      <c r="A2108" s="3" t="s">
        <v>2110</v>
      </c>
      <c r="B2108" s="4">
        <v>39</v>
      </c>
      <c r="C2108" s="3" t="str">
        <f ca="1">IFERROR(ROWSDUMMYFUNCTION(IF(A2108="","",IFERROR(IMAGE(CONCATENATE("https://us.pandora.net/on/demandware.static/-/Sites-pandora-master-catalog/default/dwbb259ca6/productimages/singlepackshot/",LEFT(A2108,FIND("-",A2108&amp;"-")-1),"_RGB.png")),""))),"{""url"":""https://us.pandora.net/on/demandware.static/-/Sites-pandora-master-catalog/default/dwbb259ca6/productimages/singlepackshot/398914C00_RGB.png"",""mode"":1}")</f>
        <v>{"url":"https://us.pandora.net/on/demandware.static/-/Sites-pandora-master-catalog/default/dwbb259ca6/productimages/singlepackshot/398914C00_RGB.png","mode":1}</v>
      </c>
      <c r="D2108" s="5" t="str">
        <f ca="1">IFERROR(ROWSDUMMYFUNCTION(IF(A2108="","",CONCATENATE("https://us.pandora.net/on/demandware.static/-/Sites-pandora-master-catalog/default/dwbb259ca6/productimages/singlepackshot/",LEFT(A2108,FIND("-",A2108&amp;"-")-1),"_RGB.png"))),"https://us.pandora.net/on/demandware.static/-/Sites-pandora-master-catalog/default/dwbb259ca6/productimages/singlepackshot/398914C00_RGB.png")</f>
        <v>https://us.pandora.net/on/demandware.static/-/Sites-pandora-master-catalog/default/dwbb259ca6/productimages/singlepackshot/398914C00_RGB.png</v>
      </c>
    </row>
    <row r="2109" spans="1:4" x14ac:dyDescent="0.25">
      <c r="A2109" s="3" t="s">
        <v>2111</v>
      </c>
      <c r="B2109" s="4">
        <v>59</v>
      </c>
      <c r="C2109" s="3" t="str">
        <f ca="1">IFERROR(ROWSDUMMYFUNCTION(IF(A2109="","",IFERROR(IMAGE(CONCATENATE("https://us.pandora.net/on/demandware.static/-/Sites-pandora-master-catalog/default/dwbb259ca6/productimages/singlepackshot/",LEFT(A2109,FIND("-",A2109&amp;"-")-1),"_RGB.png")),""))),"{""url"":""https://us.pandora.net/on/demandware.static/-/Sites-pandora-master-catalog/default/dwbb259ca6/productimages/singlepackshot/399260C00_RGB.png"",""mode"":1}")</f>
        <v>{"url":"https://us.pandora.net/on/demandware.static/-/Sites-pandora-master-catalog/default/dwbb259ca6/productimages/singlepackshot/399260C00_RGB.png","mode":1}</v>
      </c>
      <c r="D2109" s="5" t="str">
        <f ca="1">IFERROR(ROWSDUMMYFUNCTION(IF(A2109="","",CONCATENATE("https://us.pandora.net/on/demandware.static/-/Sites-pandora-master-catalog/default/dwbb259ca6/productimages/singlepackshot/",LEFT(A2109,FIND("-",A2109&amp;"-")-1),"_RGB.png"))),"https://us.pandora.net/on/demandware.static/-/Sites-pandora-master-catalog/default/dwbb259ca6/productimages/singlepackshot/399260C00_RGB.png")</f>
        <v>https://us.pandora.net/on/demandware.static/-/Sites-pandora-master-catalog/default/dwbb259ca6/productimages/singlepackshot/399260C00_RGB.png</v>
      </c>
    </row>
    <row r="2110" spans="1:4" x14ac:dyDescent="0.25">
      <c r="A2110" s="3" t="s">
        <v>2112</v>
      </c>
      <c r="B2110" s="4">
        <v>59</v>
      </c>
      <c r="C2110" s="3" t="str">
        <f ca="1">IFERROR(ROWSDUMMYFUNCTION(IF(A2110="","",IFERROR(IMAGE(CONCATENATE("https://us.pandora.net/on/demandware.static/-/Sites-pandora-master-catalog/default/dwbb259ca6/productimages/singlepackshot/",LEFT(A2110,FIND("-",A2110&amp;"-")-1),"_RGB.png")),""))),"{""url"":""https://us.pandora.net/on/demandware.static/-/Sites-pandora-master-catalog/default/dwbb259ca6/productimages/singlepackshot/399384C00_RGB.png"",""mode"":1}")</f>
        <v>{"url":"https://us.pandora.net/on/demandware.static/-/Sites-pandora-master-catalog/default/dwbb259ca6/productimages/singlepackshot/399384C00_RGB.png","mode":1}</v>
      </c>
      <c r="D2110" s="5" t="str">
        <f ca="1">IFERROR(ROWSDUMMYFUNCTION(IF(A2110="","",CONCATENATE("https://us.pandora.net/on/demandware.static/-/Sites-pandora-master-catalog/default/dwbb259ca6/productimages/singlepackshot/",LEFT(A2110,FIND("-",A2110&amp;"-")-1),"_RGB.png"))),"https://us.pandora.net/on/demandware.static/-/Sites-pandora-master-catalog/default/dwbb259ca6/productimages/singlepackshot/399384C00_RGB.png")</f>
        <v>https://us.pandora.net/on/demandware.static/-/Sites-pandora-master-catalog/default/dwbb259ca6/productimages/singlepackshot/399384C00_RGB.png</v>
      </c>
    </row>
    <row r="2111" spans="1:4" x14ac:dyDescent="0.25">
      <c r="A2111" s="3" t="s">
        <v>2113</v>
      </c>
      <c r="B2111" s="4">
        <v>49</v>
      </c>
      <c r="C2111" s="3" t="str">
        <f ca="1">IFERROR(ROWSDUMMYFUNCTION(IF(A2111="","",IFERROR(IMAGE(CONCATENATE("https://us.pandora.net/on/demandware.static/-/Sites-pandora-master-catalog/default/dwbb259ca6/productimages/singlepackshot/",LEFT(A2111,FIND("-",A2111&amp;"-")-1),"_RGB.png")),""))),"{""url"":""https://us.pandora.net/on/demandware.static/-/Sites-pandora-master-catalog/default/dwbb259ca6/productimages/singlepackshot/399566C00_RGB.png"",""mode"":1}")</f>
        <v>{"url":"https://us.pandora.net/on/demandware.static/-/Sites-pandora-master-catalog/default/dwbb259ca6/productimages/singlepackshot/399566C00_RGB.png","mode":1}</v>
      </c>
      <c r="D2111" s="5" t="str">
        <f ca="1">IFERROR(ROWSDUMMYFUNCTION(IF(A2111="","",CONCATENATE("https://us.pandora.net/on/demandware.static/-/Sites-pandora-master-catalog/default/dwbb259ca6/productimages/singlepackshot/",LEFT(A2111,FIND("-",A2111&amp;"-")-1),"_RGB.png"))),"https://us.pandora.net/on/demandware.static/-/Sites-pandora-master-catalog/default/dwbb259ca6/productimages/singlepackshot/399566C00_RGB.png")</f>
        <v>https://us.pandora.net/on/demandware.static/-/Sites-pandora-master-catalog/default/dwbb259ca6/productimages/singlepackshot/399566C00_RGB.png</v>
      </c>
    </row>
    <row r="2112" spans="1:4" x14ac:dyDescent="0.25">
      <c r="A2112" s="3" t="s">
        <v>2114</v>
      </c>
      <c r="B2112" s="4">
        <v>59</v>
      </c>
      <c r="C2112" s="3" t="str">
        <f ca="1">IFERROR(ROWSDUMMYFUNCTION(IF(A2112="","",IFERROR(IMAGE(CONCATENATE("https://us.pandora.net/on/demandware.static/-/Sites-pandora-master-catalog/default/dwbb259ca6/productimages/singlepackshot/",LEFT(A2112,FIND("-",A2112&amp;"-")-1),"_RGB.png")),""))),"{""url"":""https://us.pandora.net/on/demandware.static/-/Sites-pandora-master-catalog/default/dwbb259ca6/productimages/singlepackshot/399567C00_RGB.png"",""mode"":1}")</f>
        <v>{"url":"https://us.pandora.net/on/demandware.static/-/Sites-pandora-master-catalog/default/dwbb259ca6/productimages/singlepackshot/399567C00_RGB.png","mode":1}</v>
      </c>
      <c r="D2112" s="5" t="str">
        <f ca="1">IFERROR(ROWSDUMMYFUNCTION(IF(A2112="","",CONCATENATE("https://us.pandora.net/on/demandware.static/-/Sites-pandora-master-catalog/default/dwbb259ca6/productimages/singlepackshot/",LEFT(A2112,FIND("-",A2112&amp;"-")-1),"_RGB.png"))),"https://us.pandora.net/on/demandware.static/-/Sites-pandora-master-catalog/default/dwbb259ca6/productimages/singlepackshot/399567C00_RGB.png")</f>
        <v>https://us.pandora.net/on/demandware.static/-/Sites-pandora-master-catalog/default/dwbb259ca6/productimages/singlepackshot/399567C00_RGB.png</v>
      </c>
    </row>
    <row r="2113" spans="1:4" x14ac:dyDescent="0.25">
      <c r="A2113" s="3" t="s">
        <v>2115</v>
      </c>
      <c r="B2113" s="4">
        <v>149</v>
      </c>
      <c r="C2113" s="3" t="str">
        <f ca="1">IFERROR(ROWSDUMMYFUNCTION(IF(A2113="","",IFERROR(IMAGE(CONCATENATE("https://us.pandora.net/on/demandware.static/-/Sites-pandora-master-catalog/default/dwbb259ca6/productimages/singlepackshot/",LEFT(A2113,FIND("-",A2113&amp;"-")-1),"_RGB.png")),""))),"{""url"":""https://us.pandora.net/on/demandware.static/-/Sites-pandora-master-catalog/default/dwbb259ca6/productimages/singlepackshot/399590C00_RGB.png"",""mode"":1}")</f>
        <v>{"url":"https://us.pandora.net/on/demandware.static/-/Sites-pandora-master-catalog/default/dwbb259ca6/productimages/singlepackshot/399590C00_RGB.png","mode":1}</v>
      </c>
      <c r="D2113" s="5" t="str">
        <f ca="1">IFERROR(ROWSDUMMYFUNCTION(IF(A2113="","",CONCATENATE("https://us.pandora.net/on/demandware.static/-/Sites-pandora-master-catalog/default/dwbb259ca6/productimages/singlepackshot/",LEFT(A2113,FIND("-",A2113&amp;"-")-1),"_RGB.png"))),"https://us.pandora.net/on/demandware.static/-/Sites-pandora-master-catalog/default/dwbb259ca6/productimages/singlepackshot/399590C00_RGB.png")</f>
        <v>https://us.pandora.net/on/demandware.static/-/Sites-pandora-master-catalog/default/dwbb259ca6/productimages/singlepackshot/399590C00_RGB.png</v>
      </c>
    </row>
    <row r="2114" spans="1:4" x14ac:dyDescent="0.25">
      <c r="A2114" s="3" t="s">
        <v>2116</v>
      </c>
      <c r="B2114" s="4">
        <v>249</v>
      </c>
      <c r="C2114" s="3" t="str">
        <f ca="1">IFERROR(ROWSDUMMYFUNCTION(IF(A2114="","",IFERROR(IMAGE(CONCATENATE("https://us.pandora.net/on/demandware.static/-/Sites-pandora-master-catalog/default/dwbb259ca6/productimages/singlepackshot/",LEFT(A2114,FIND("-",A2114&amp;"-")-1),"_RGB.png")),""))),"{""url"":""https://us.pandora.net/on/demandware.static/-/Sites-pandora-master-catalog/default/dwbb259ca6/productimages/singlepackshot/399658C01_RGB.png"",""mode"":1}")</f>
        <v>{"url":"https://us.pandora.net/on/demandware.static/-/Sites-pandora-master-catalog/default/dwbb259ca6/productimages/singlepackshot/399658C01_RGB.png","mode":1}</v>
      </c>
      <c r="D2114" s="5" t="str">
        <f ca="1">IFERROR(ROWSDUMMYFUNCTION(IF(A2114="","",CONCATENATE("https://us.pandora.net/on/demandware.static/-/Sites-pandora-master-catalog/default/dwbb259ca6/productimages/singlepackshot/",LEFT(A2114,FIND("-",A2114&amp;"-")-1),"_RGB.png"))),"https://us.pandora.net/on/demandware.static/-/Sites-pandora-master-catalog/default/dwbb259ca6/productimages/singlepackshot/399658C01_RGB.png")</f>
        <v>https://us.pandora.net/on/demandware.static/-/Sites-pandora-master-catalog/default/dwbb259ca6/productimages/singlepackshot/399658C01_RGB.png</v>
      </c>
    </row>
    <row r="2115" spans="1:4" x14ac:dyDescent="0.25">
      <c r="A2115" s="3" t="s">
        <v>2117</v>
      </c>
      <c r="B2115" s="4">
        <v>109</v>
      </c>
      <c r="C2115" s="3" t="str">
        <f ca="1">IFERROR(ROWSDUMMYFUNCTION(IF(A2115="","",IFERROR(IMAGE(CONCATENATE("https://us.pandora.net/on/demandware.static/-/Sites-pandora-master-catalog/default/dwbb259ca6/productimages/singlepackshot/",LEFT(A2115,FIND("-",A2115&amp;"-")-1),"_RGB.png")),""))),"{""url"":""https://us.pandora.net/on/demandware.static/-/Sites-pandora-master-catalog/default/dwbb259ca6/productimages/singlepackshot/399685C00_RGB.png"",""mode"":1}")</f>
        <v>{"url":"https://us.pandora.net/on/demandware.static/-/Sites-pandora-master-catalog/default/dwbb259ca6/productimages/singlepackshot/399685C00_RGB.png","mode":1}</v>
      </c>
      <c r="D2115" s="5" t="str">
        <f ca="1">IFERROR(ROWSDUMMYFUNCTION(IF(A2115="","",CONCATENATE("https://us.pandora.net/on/demandware.static/-/Sites-pandora-master-catalog/default/dwbb259ca6/productimages/singlepackshot/",LEFT(A2115,FIND("-",A2115&amp;"-")-1),"_RGB.png"))),"https://us.pandora.net/on/demandware.static/-/Sites-pandora-master-catalog/default/dwbb259ca6/productimages/singlepackshot/399685C00_RGB.png")</f>
        <v>https://us.pandora.net/on/demandware.static/-/Sites-pandora-master-catalog/default/dwbb259ca6/productimages/singlepackshot/399685C00_RGB.png</v>
      </c>
    </row>
    <row r="2116" spans="1:4" x14ac:dyDescent="0.25">
      <c r="A2116" s="3" t="s">
        <v>2118</v>
      </c>
      <c r="B2116" s="4">
        <v>1599</v>
      </c>
      <c r="C2116" s="3" t="str">
        <f ca="1">IFERROR(ROWSDUMMYFUNCTION(IF(A2116="","",IFERROR(IMAGE(CONCATENATE("https://us.pandora.net/on/demandware.static/-/Sites-pandora-master-catalog/default/dwbb259ca6/productimages/singlepackshot/",LEFT(A2116,FIND("-",A2116&amp;"-")-1),"_RGB.png")),""))),"{""url"":""https://us.pandora.net/on/demandware.static/-/Sites-pandora-master-catalog/default/dwbb259ca6/productimages/singlepackshot/550702_RGB.png"",""mode"":1}")</f>
        <v>{"url":"https://us.pandora.net/on/demandware.static/-/Sites-pandora-master-catalog/default/dwbb259ca6/productimages/singlepackshot/550702_RGB.png","mode":1}</v>
      </c>
      <c r="D2116" s="5" t="str">
        <f ca="1">IFERROR(ROWSDUMMYFUNCTION(IF(A2116="","",CONCATENATE("https://us.pandora.net/on/demandware.static/-/Sites-pandora-master-catalog/default/dwbb259ca6/productimages/singlepackshot/",LEFT(A2116,FIND("-",A2116&amp;"-")-1),"_RGB.png"))),"https://us.pandora.net/on/demandware.static/-/Sites-pandora-master-catalog/default/dwbb259ca6/productimages/singlepackshot/550702_RGB.png")</f>
        <v>https://us.pandora.net/on/demandware.static/-/Sites-pandora-master-catalog/default/dwbb259ca6/productimages/singlepackshot/550702_RGB.png</v>
      </c>
    </row>
    <row r="2117" spans="1:4" x14ac:dyDescent="0.25">
      <c r="A2117" s="3" t="s">
        <v>2119</v>
      </c>
      <c r="B2117" s="4">
        <v>1699</v>
      </c>
      <c r="C2117" s="3" t="str">
        <f ca="1">IFERROR(ROWSDUMMYFUNCTION(IF(A2117="","",IFERROR(IMAGE(CONCATENATE("https://us.pandora.net/on/demandware.static/-/Sites-pandora-master-catalog/default/dwbb259ca6/productimages/singlepackshot/",LEFT(A2117,FIND("-",A2117&amp;"-")-1),"_RGB.png")),""))),"{""url"":""https://us.pandora.net/on/demandware.static/-/Sites-pandora-master-catalog/default/dwbb259ca6/productimages/singlepackshot/550702_RGB.png"",""mode"":1}")</f>
        <v>{"url":"https://us.pandora.net/on/demandware.static/-/Sites-pandora-master-catalog/default/dwbb259ca6/productimages/singlepackshot/550702_RGB.png","mode":1}</v>
      </c>
      <c r="D2117" s="5" t="str">
        <f ca="1">IFERROR(ROWSDUMMYFUNCTION(IF(A2117="","",CONCATENATE("https://us.pandora.net/on/demandware.static/-/Sites-pandora-master-catalog/default/dwbb259ca6/productimages/singlepackshot/",LEFT(A2117,FIND("-",A2117&amp;"-")-1),"_RGB.png"))),"https://us.pandora.net/on/demandware.static/-/Sites-pandora-master-catalog/default/dwbb259ca6/productimages/singlepackshot/550702_RGB.png")</f>
        <v>https://us.pandora.net/on/demandware.static/-/Sites-pandora-master-catalog/default/dwbb259ca6/productimages/singlepackshot/550702_RGB.png</v>
      </c>
    </row>
    <row r="2118" spans="1:4" x14ac:dyDescent="0.25">
      <c r="A2118" s="3" t="s">
        <v>2120</v>
      </c>
      <c r="B2118" s="4">
        <v>1799</v>
      </c>
      <c r="C2118" s="3" t="str">
        <f ca="1">IFERROR(ROWSDUMMYFUNCTION(IF(A2118="","",IFERROR(IMAGE(CONCATENATE("https://us.pandora.net/on/demandware.static/-/Sites-pandora-master-catalog/default/dwbb259ca6/productimages/singlepackshot/",LEFT(A2118,FIND("-",A2118&amp;"-")-1),"_RGB.png")),""))),"{""url"":""https://us.pandora.net/on/demandware.static/-/Sites-pandora-master-catalog/default/dwbb259ca6/productimages/singlepackshot/550702_RGB.png"",""mode"":1}")</f>
        <v>{"url":"https://us.pandora.net/on/demandware.static/-/Sites-pandora-master-catalog/default/dwbb259ca6/productimages/singlepackshot/550702_RGB.png","mode":1}</v>
      </c>
      <c r="D2118" s="5" t="str">
        <f ca="1">IFERROR(ROWSDUMMYFUNCTION(IF(A2118="","",CONCATENATE("https://us.pandora.net/on/demandware.static/-/Sites-pandora-master-catalog/default/dwbb259ca6/productimages/singlepackshot/",LEFT(A2118,FIND("-",A2118&amp;"-")-1),"_RGB.png"))),"https://us.pandora.net/on/demandware.static/-/Sites-pandora-master-catalog/default/dwbb259ca6/productimages/singlepackshot/550702_RGB.png")</f>
        <v>https://us.pandora.net/on/demandware.static/-/Sites-pandora-master-catalog/default/dwbb259ca6/productimages/singlepackshot/550702_RGB.png</v>
      </c>
    </row>
    <row r="2119" spans="1:4" x14ac:dyDescent="0.25">
      <c r="A2119" s="3" t="s">
        <v>2121</v>
      </c>
      <c r="B2119" s="4">
        <v>1899</v>
      </c>
      <c r="C2119" s="3" t="str">
        <f ca="1">IFERROR(ROWSDUMMYFUNCTION(IF(A2119="","",IFERROR(IMAGE(CONCATENATE("https://us.pandora.net/on/demandware.static/-/Sites-pandora-master-catalog/default/dwbb259ca6/productimages/singlepackshot/",LEFT(A2119,FIND("-",A2119&amp;"-")-1),"_RGB.png")),""))),"{""url"":""https://us.pandora.net/on/demandware.static/-/Sites-pandora-master-catalog/default/dwbb259ca6/productimages/singlepackshot/550702_RGB.png"",""mode"":1}")</f>
        <v>{"url":"https://us.pandora.net/on/demandware.static/-/Sites-pandora-master-catalog/default/dwbb259ca6/productimages/singlepackshot/550702_RGB.png","mode":1}</v>
      </c>
      <c r="D2119" s="5" t="str">
        <f ca="1">IFERROR(ROWSDUMMYFUNCTION(IF(A2119="","",CONCATENATE("https://us.pandora.net/on/demandware.static/-/Sites-pandora-master-catalog/default/dwbb259ca6/productimages/singlepackshot/",LEFT(A2119,FIND("-",A2119&amp;"-")-1),"_RGB.png"))),"https://us.pandora.net/on/demandware.static/-/Sites-pandora-master-catalog/default/dwbb259ca6/productimages/singlepackshot/550702_RGB.png")</f>
        <v>https://us.pandora.net/on/demandware.static/-/Sites-pandora-master-catalog/default/dwbb259ca6/productimages/singlepackshot/550702_RGB.png</v>
      </c>
    </row>
    <row r="2120" spans="1:4" x14ac:dyDescent="0.25">
      <c r="A2120" s="3" t="s">
        <v>2122</v>
      </c>
      <c r="B2120" s="4">
        <v>1999</v>
      </c>
      <c r="C2120" s="3" t="str">
        <f ca="1">IFERROR(ROWSDUMMYFUNCTION(IF(A2120="","",IFERROR(IMAGE(CONCATENATE("https://us.pandora.net/on/demandware.static/-/Sites-pandora-master-catalog/default/dwbb259ca6/productimages/singlepackshot/",LEFT(A2120,FIND("-",A2120&amp;"-")-1),"_RGB.png")),""))),"{""url"":""https://us.pandora.net/on/demandware.static/-/Sites-pandora-master-catalog/default/dwbb259ca6/productimages/singlepackshot/550702_RGB.png"",""mode"":1}")</f>
        <v>{"url":"https://us.pandora.net/on/demandware.static/-/Sites-pandora-master-catalog/default/dwbb259ca6/productimages/singlepackshot/550702_RGB.png","mode":1}</v>
      </c>
      <c r="D2120" s="5" t="str">
        <f ca="1">IFERROR(ROWSDUMMYFUNCTION(IF(A2120="","",CONCATENATE("https://us.pandora.net/on/demandware.static/-/Sites-pandora-master-catalog/default/dwbb259ca6/productimages/singlepackshot/",LEFT(A2120,FIND("-",A2120&amp;"-")-1),"_RGB.png"))),"https://us.pandora.net/on/demandware.static/-/Sites-pandora-master-catalog/default/dwbb259ca6/productimages/singlepackshot/550702_RGB.png")</f>
        <v>https://us.pandora.net/on/demandware.static/-/Sites-pandora-master-catalog/default/dwbb259ca6/productimages/singlepackshot/550702_RGB.png</v>
      </c>
    </row>
    <row r="2121" spans="1:4" x14ac:dyDescent="0.25">
      <c r="A2121" s="3" t="s">
        <v>2123</v>
      </c>
      <c r="B2121" s="4">
        <v>1699</v>
      </c>
      <c r="C2121" s="3" t="str">
        <f ca="1">IFERROR(ROWSDUMMYFUNCTION(IF(A2121="","",IFERROR(IMAGE(CONCATENATE("https://us.pandora.net/on/demandware.static/-/Sites-pandora-master-catalog/default/dwbb259ca6/productimages/singlepackshot/",LEFT(A2121,FIND("-",A2121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1" s="5" t="str">
        <f ca="1">IFERROR(ROWSDUMMYFUNCTION(IF(A2121="","",CONCATENATE("https://us.pandora.net/on/demandware.static/-/Sites-pandora-master-catalog/default/dwbb259ca6/productimages/singlepackshot/",LEFT(A2121,FIND("-",A2121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2" spans="1:4" x14ac:dyDescent="0.25">
      <c r="A2122" s="3" t="s">
        <v>2124</v>
      </c>
      <c r="B2122" s="4">
        <v>1799</v>
      </c>
      <c r="C2122" s="3" t="str">
        <f ca="1">IFERROR(ROWSDUMMYFUNCTION(IF(A2122="","",IFERROR(IMAGE(CONCATENATE("https://us.pandora.net/on/demandware.static/-/Sites-pandora-master-catalog/default/dwbb259ca6/productimages/singlepackshot/",LEFT(A2122,FIND("-",A2122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2" s="5" t="str">
        <f ca="1">IFERROR(ROWSDUMMYFUNCTION(IF(A2122="","",CONCATENATE("https://us.pandora.net/on/demandware.static/-/Sites-pandora-master-catalog/default/dwbb259ca6/productimages/singlepackshot/",LEFT(A2122,FIND("-",A2122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3" spans="1:4" x14ac:dyDescent="0.25">
      <c r="A2123" s="3" t="s">
        <v>2125</v>
      </c>
      <c r="B2123" s="4">
        <v>1899</v>
      </c>
      <c r="C2123" s="3" t="str">
        <f ca="1">IFERROR(ROWSDUMMYFUNCTION(IF(A2123="","",IFERROR(IMAGE(CONCATENATE("https://us.pandora.net/on/demandware.static/-/Sites-pandora-master-catalog/default/dwbb259ca6/productimages/singlepackshot/",LEFT(A2123,FIND("-",A2123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3" s="5" t="str">
        <f ca="1">IFERROR(ROWSDUMMYFUNCTION(IF(A2123="","",CONCATENATE("https://us.pandora.net/on/demandware.static/-/Sites-pandora-master-catalog/default/dwbb259ca6/productimages/singlepackshot/",LEFT(A2123,FIND("-",A2123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4" spans="1:4" x14ac:dyDescent="0.25">
      <c r="A2124" s="3" t="s">
        <v>2126</v>
      </c>
      <c r="B2124" s="4">
        <v>1999</v>
      </c>
      <c r="C2124" s="3" t="str">
        <f ca="1">IFERROR(ROWSDUMMYFUNCTION(IF(A2124="","",IFERROR(IMAGE(CONCATENATE("https://us.pandora.net/on/demandware.static/-/Sites-pandora-master-catalog/default/dwbb259ca6/productimages/singlepackshot/",LEFT(A2124,FIND("-",A2124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4" s="5" t="str">
        <f ca="1">IFERROR(ROWSDUMMYFUNCTION(IF(A2124="","",CONCATENATE("https://us.pandora.net/on/demandware.static/-/Sites-pandora-master-catalog/default/dwbb259ca6/productimages/singlepackshot/",LEFT(A2124,FIND("-",A2124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5" spans="1:4" x14ac:dyDescent="0.25">
      <c r="A2125" s="3" t="s">
        <v>2127</v>
      </c>
      <c r="B2125" s="4">
        <v>2099</v>
      </c>
      <c r="C2125" s="3" t="str">
        <f ca="1">IFERROR(ROWSDUMMYFUNCTION(IF(A2125="","",IFERROR(IMAGE(CONCATENATE("https://us.pandora.net/on/demandware.static/-/Sites-pandora-master-catalog/default/dwbb259ca6/productimages/singlepackshot/",LEFT(A2125,FIND("-",A2125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5" s="5" t="str">
        <f ca="1">IFERROR(ROWSDUMMYFUNCTION(IF(A2125="","",CONCATENATE("https://us.pandora.net/on/demandware.static/-/Sites-pandora-master-catalog/default/dwbb259ca6/productimages/singlepackshot/",LEFT(A2125,FIND("-",A2125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6" spans="1:4" x14ac:dyDescent="0.25">
      <c r="A2126" s="3" t="s">
        <v>2128</v>
      </c>
      <c r="B2126" s="4">
        <v>2199</v>
      </c>
      <c r="C2126" s="3" t="str">
        <f ca="1">IFERROR(ROWSDUMMYFUNCTION(IF(A2126="","",IFERROR(IMAGE(CONCATENATE("https://us.pandora.net/on/demandware.static/-/Sites-pandora-master-catalog/default/dwbb259ca6/productimages/singlepackshot/",LEFT(A2126,FIND("-",A2126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6" s="5" t="str">
        <f ca="1">IFERROR(ROWSDUMMYFUNCTION(IF(A2126="","",CONCATENATE("https://us.pandora.net/on/demandware.static/-/Sites-pandora-master-catalog/default/dwbb259ca6/productimages/singlepackshot/",LEFT(A2126,FIND("-",A2126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7" spans="1:4" x14ac:dyDescent="0.25">
      <c r="A2127" s="3" t="s">
        <v>2129</v>
      </c>
      <c r="B2127" s="4">
        <v>2399</v>
      </c>
      <c r="C2127" s="3" t="str">
        <f ca="1">IFERROR(ROWSDUMMYFUNCTION(IF(A2127="","",IFERROR(IMAGE(CONCATENATE("https://us.pandora.net/on/demandware.static/-/Sites-pandora-master-catalog/default/dwbb259ca6/productimages/singlepackshot/",LEFT(A2127,FIND("-",A2127&amp;"-")-1),"_RGB.png")),""))),"{""url"":""https://us.pandora.net/on/demandware.static/-/Sites-pandora-master-catalog/default/dwbb259ca6/productimages/singlepackshot/559539C00_RGB.png"",""mode"":1}")</f>
        <v>{"url":"https://us.pandora.net/on/demandware.static/-/Sites-pandora-master-catalog/default/dwbb259ca6/productimages/singlepackshot/559539C00_RGB.png","mode":1}</v>
      </c>
      <c r="D2127" s="5" t="str">
        <f ca="1">IFERROR(ROWSDUMMYFUNCTION(IF(A2127="","",CONCATENATE("https://us.pandora.net/on/demandware.static/-/Sites-pandora-master-catalog/default/dwbb259ca6/productimages/singlepackshot/",LEFT(A2127,FIND("-",A2127&amp;"-")-1),"_RGB.png"))),"https://us.pandora.net/on/demandware.static/-/Sites-pandora-master-catalog/default/dwbb259ca6/productimages/singlepackshot/559539C00_RGB.png")</f>
        <v>https://us.pandora.net/on/demandware.static/-/Sites-pandora-master-catalog/default/dwbb259ca6/productimages/singlepackshot/559539C00_RGB.png</v>
      </c>
    </row>
    <row r="2128" spans="1:4" x14ac:dyDescent="0.25">
      <c r="A2128" s="3" t="s">
        <v>2130</v>
      </c>
      <c r="B2128" s="4">
        <v>149</v>
      </c>
      <c r="C2128" s="3" t="str">
        <f ca="1">IFERROR(ROWSDUMMYFUNCTION(IF(A2128="","",IFERROR(IMAGE(CONCATENATE("https://us.pandora.net/on/demandware.static/-/Sites-pandora-master-catalog/default/dwbb259ca6/productimages/singlepackshot/",LEFT(A2128,FIND("-",A2128&amp;"-")-1),"_RGB.png")),""))),"{""url"":""https://us.pandora.net/on/demandware.static/-/Sites-pandora-master-catalog/default/dwbb259ca6/productimages/singlepackshot/560041C01_RGB.png"",""mode"":1}")</f>
        <v>{"url":"https://us.pandora.net/on/demandware.static/-/Sites-pandora-master-catalog/default/dwbb259ca6/productimages/singlepackshot/560041C01_RGB.png","mode":1}</v>
      </c>
      <c r="D2128" s="5" t="str">
        <f ca="1">IFERROR(ROWSDUMMYFUNCTION(IF(A2128="","",CONCATENATE("https://us.pandora.net/on/demandware.static/-/Sites-pandora-master-catalog/default/dwbb259ca6/productimages/singlepackshot/",LEFT(A2128,FIND("-",A2128&amp;"-")-1),"_RGB.png"))),"https://us.pandora.net/on/demandware.static/-/Sites-pandora-master-catalog/default/dwbb259ca6/productimages/singlepackshot/560041C01_RGB.png")</f>
        <v>https://us.pandora.net/on/demandware.static/-/Sites-pandora-master-catalog/default/dwbb259ca6/productimages/singlepackshot/560041C01_RGB.png</v>
      </c>
    </row>
    <row r="2129" spans="1:4" x14ac:dyDescent="0.25">
      <c r="A2129" s="3" t="s">
        <v>2131</v>
      </c>
      <c r="B2129" s="4">
        <v>149</v>
      </c>
      <c r="C2129" s="3" t="str">
        <f ca="1">IFERROR(ROWSDUMMYFUNCTION(IF(A2129="","",IFERROR(IMAGE(CONCATENATE("https://us.pandora.net/on/demandware.static/-/Sites-pandora-master-catalog/default/dwbb259ca6/productimages/singlepackshot/",LEFT(A2129,FIND("-",A2129&amp;"-")-1),"_RGB.png")),""))),"{""url"":""https://us.pandora.net/on/demandware.static/-/Sites-pandora-master-catalog/default/dwbb259ca6/productimages/singlepackshot/560041C01_RGB.png"",""mode"":1}")</f>
        <v>{"url":"https://us.pandora.net/on/demandware.static/-/Sites-pandora-master-catalog/default/dwbb259ca6/productimages/singlepackshot/560041C01_RGB.png","mode":1}</v>
      </c>
      <c r="D2129" s="5" t="str">
        <f ca="1">IFERROR(ROWSDUMMYFUNCTION(IF(A2129="","",CONCATENATE("https://us.pandora.net/on/demandware.static/-/Sites-pandora-master-catalog/default/dwbb259ca6/productimages/singlepackshot/",LEFT(A2129,FIND("-",A2129&amp;"-")-1),"_RGB.png"))),"https://us.pandora.net/on/demandware.static/-/Sites-pandora-master-catalog/default/dwbb259ca6/productimages/singlepackshot/560041C01_RGB.png")</f>
        <v>https://us.pandora.net/on/demandware.static/-/Sites-pandora-master-catalog/default/dwbb259ca6/productimages/singlepackshot/560041C01_RGB.png</v>
      </c>
    </row>
    <row r="2130" spans="1:4" x14ac:dyDescent="0.25">
      <c r="A2130" s="3" t="s">
        <v>2132</v>
      </c>
      <c r="B2130" s="4">
        <v>149</v>
      </c>
      <c r="C2130" s="3" t="str">
        <f ca="1">IFERROR(ROWSDUMMYFUNCTION(IF(A2130="","",IFERROR(IMAGE(CONCATENATE("https://us.pandora.net/on/demandware.static/-/Sites-pandora-master-catalog/default/dwbb259ca6/productimages/singlepackshot/",LEFT(A2130,FIND("-",A2130&amp;"-")-1),"_RGB.png")),""))),"{""url"":""https://us.pandora.net/on/demandware.static/-/Sites-pandora-master-catalog/default/dwbb259ca6/productimages/singlepackshot/560041C01_RGB.png"",""mode"":1}")</f>
        <v>{"url":"https://us.pandora.net/on/demandware.static/-/Sites-pandora-master-catalog/default/dwbb259ca6/productimages/singlepackshot/560041C01_RGB.png","mode":1}</v>
      </c>
      <c r="D2130" s="5" t="str">
        <f ca="1">IFERROR(ROWSDUMMYFUNCTION(IF(A2130="","",CONCATENATE("https://us.pandora.net/on/demandware.static/-/Sites-pandora-master-catalog/default/dwbb259ca6/productimages/singlepackshot/",LEFT(A2130,FIND("-",A2130&amp;"-")-1),"_RGB.png"))),"https://us.pandora.net/on/demandware.static/-/Sites-pandora-master-catalog/default/dwbb259ca6/productimages/singlepackshot/560041C01_RGB.png")</f>
        <v>https://us.pandora.net/on/demandware.static/-/Sites-pandora-master-catalog/default/dwbb259ca6/productimages/singlepackshot/560041C01_RGB.png</v>
      </c>
    </row>
    <row r="2131" spans="1:4" x14ac:dyDescent="0.25">
      <c r="A2131" s="3" t="s">
        <v>2133</v>
      </c>
      <c r="B2131" s="4">
        <v>149</v>
      </c>
      <c r="C2131" s="3" t="str">
        <f ca="1">IFERROR(ROWSDUMMYFUNCTION(IF(A2131="","",IFERROR(IMAGE(CONCATENATE("https://us.pandora.net/on/demandware.static/-/Sites-pandora-master-catalog/default/dwbb259ca6/productimages/singlepackshot/",LEFT(A2131,FIND("-",A2131&amp;"-")-1),"_RGB.png")),""))),"{""url"":""https://us.pandora.net/on/demandware.static/-/Sites-pandora-master-catalog/default/dwbb259ca6/productimages/singlepackshot/561469C01_RGB.png"",""mode"":1}")</f>
        <v>{"url":"https://us.pandora.net/on/demandware.static/-/Sites-pandora-master-catalog/default/dwbb259ca6/productimages/singlepackshot/561469C01_RGB.png","mode":1}</v>
      </c>
      <c r="D2131" s="5" t="str">
        <f ca="1">IFERROR(ROWSDUMMYFUNCTION(IF(A2131="","",CONCATENATE("https://us.pandora.net/on/demandware.static/-/Sites-pandora-master-catalog/default/dwbb259ca6/productimages/singlepackshot/",LEFT(A2131,FIND("-",A2131&amp;"-")-1),"_RGB.png"))),"https://us.pandora.net/on/demandware.static/-/Sites-pandora-master-catalog/default/dwbb259ca6/productimages/singlepackshot/561469C01_RGB.png")</f>
        <v>https://us.pandora.net/on/demandware.static/-/Sites-pandora-master-catalog/default/dwbb259ca6/productimages/singlepackshot/561469C01_RGB.png</v>
      </c>
    </row>
    <row r="2132" spans="1:4" x14ac:dyDescent="0.25">
      <c r="A2132" s="3" t="s">
        <v>2134</v>
      </c>
      <c r="B2132" s="4">
        <v>149</v>
      </c>
      <c r="C2132" s="3" t="str">
        <f ca="1">IFERROR(ROWSDUMMYFUNCTION(IF(A2132="","",IFERROR(IMAGE(CONCATENATE("https://us.pandora.net/on/demandware.static/-/Sites-pandora-master-catalog/default/dwbb259ca6/productimages/singlepackshot/",LEFT(A2132,FIND("-",A2132&amp;"-")-1),"_RGB.png")),""))),"{""url"":""https://us.pandora.net/on/demandware.static/-/Sites-pandora-master-catalog/default/dwbb259ca6/productimages/singlepackshot/561469C01_RGB.png"",""mode"":1}")</f>
        <v>{"url":"https://us.pandora.net/on/demandware.static/-/Sites-pandora-master-catalog/default/dwbb259ca6/productimages/singlepackshot/561469C01_RGB.png","mode":1}</v>
      </c>
      <c r="D2132" s="5" t="str">
        <f ca="1">IFERROR(ROWSDUMMYFUNCTION(IF(A2132="","",CONCATENATE("https://us.pandora.net/on/demandware.static/-/Sites-pandora-master-catalog/default/dwbb259ca6/productimages/singlepackshot/",LEFT(A2132,FIND("-",A2132&amp;"-")-1),"_RGB.png"))),"https://us.pandora.net/on/demandware.static/-/Sites-pandora-master-catalog/default/dwbb259ca6/productimages/singlepackshot/561469C01_RGB.png")</f>
        <v>https://us.pandora.net/on/demandware.static/-/Sites-pandora-master-catalog/default/dwbb259ca6/productimages/singlepackshot/561469C01_RGB.png</v>
      </c>
    </row>
    <row r="2133" spans="1:4" x14ac:dyDescent="0.25">
      <c r="A2133" s="3" t="s">
        <v>2135</v>
      </c>
      <c r="B2133" s="4">
        <v>149</v>
      </c>
      <c r="C2133" s="3" t="str">
        <f ca="1">IFERROR(ROWSDUMMYFUNCTION(IF(A2133="","",IFERROR(IMAGE(CONCATENATE("https://us.pandora.net/on/demandware.static/-/Sites-pandora-master-catalog/default/dwbb259ca6/productimages/singlepackshot/",LEFT(A2133,FIND("-",A2133&amp;"-")-1),"_RGB.png")),""))),"{""url"":""https://us.pandora.net/on/demandware.static/-/Sites-pandora-master-catalog/default/dwbb259ca6/productimages/singlepackshot/561469C01_RGB.png"",""mode"":1}")</f>
        <v>{"url":"https://us.pandora.net/on/demandware.static/-/Sites-pandora-master-catalog/default/dwbb259ca6/productimages/singlepackshot/561469C01_RGB.png","mode":1}</v>
      </c>
      <c r="D2133" s="5" t="str">
        <f ca="1">IFERROR(ROWSDUMMYFUNCTION(IF(A2133="","",CONCATENATE("https://us.pandora.net/on/demandware.static/-/Sites-pandora-master-catalog/default/dwbb259ca6/productimages/singlepackshot/",LEFT(A2133,FIND("-",A2133&amp;"-")-1),"_RGB.png"))),"https://us.pandora.net/on/demandware.static/-/Sites-pandora-master-catalog/default/dwbb259ca6/productimages/singlepackshot/561469C01_RGB.png")</f>
        <v>https://us.pandora.net/on/demandware.static/-/Sites-pandora-master-catalog/default/dwbb259ca6/productimages/singlepackshot/561469C01_RGB.png</v>
      </c>
    </row>
    <row r="2134" spans="1:4" x14ac:dyDescent="0.25">
      <c r="A2134" s="3" t="s">
        <v>2136</v>
      </c>
      <c r="B2134" s="4">
        <v>159</v>
      </c>
      <c r="C2134" s="3" t="str">
        <f ca="1">IFERROR(ROWSDUMMYFUNCTION(IF(A2134="","",IFERROR(IMAGE(CONCATENATE("https://us.pandora.net/on/demandware.static/-/Sites-pandora-master-catalog/default/dwbb259ca6/productimages/singlepackshot/",LEFT(A2134,FIND("-",A2134&amp;"-")-1),"_RGB.png")),""))),"{""url"":""https://us.pandora.net/on/demandware.static/-/Sites-pandora-master-catalog/default/dwbb259ca6/productimages/singlepackshot/561469C02_RGB.png"",""mode"":1}")</f>
        <v>{"url":"https://us.pandora.net/on/demandware.static/-/Sites-pandora-master-catalog/default/dwbb259ca6/productimages/singlepackshot/561469C02_RGB.png","mode":1}</v>
      </c>
      <c r="D2134" s="5" t="str">
        <f ca="1">IFERROR(ROWSDUMMYFUNCTION(IF(A2134="","",CONCATENATE("https://us.pandora.net/on/demandware.static/-/Sites-pandora-master-catalog/default/dwbb259ca6/productimages/singlepackshot/",LEFT(A2134,FIND("-",A2134&amp;"-")-1),"_RGB.png"))),"https://us.pandora.net/on/demandware.static/-/Sites-pandora-master-catalog/default/dwbb259ca6/productimages/singlepackshot/561469C02_RGB.png")</f>
        <v>https://us.pandora.net/on/demandware.static/-/Sites-pandora-master-catalog/default/dwbb259ca6/productimages/singlepackshot/561469C02_RGB.png</v>
      </c>
    </row>
    <row r="2135" spans="1:4" x14ac:dyDescent="0.25">
      <c r="A2135" s="3" t="s">
        <v>2137</v>
      </c>
      <c r="B2135" s="4">
        <v>159</v>
      </c>
      <c r="C2135" s="3" t="str">
        <f ca="1">IFERROR(ROWSDUMMYFUNCTION(IF(A2135="","",IFERROR(IMAGE(CONCATENATE("https://us.pandora.net/on/demandware.static/-/Sites-pandora-master-catalog/default/dwbb259ca6/productimages/singlepackshot/",LEFT(A2135,FIND("-",A2135&amp;"-")-1),"_RGB.png")),""))),"{""url"":""https://us.pandora.net/on/demandware.static/-/Sites-pandora-master-catalog/default/dwbb259ca6/productimages/singlepackshot/561469C02_RGB.png"",""mode"":1}")</f>
        <v>{"url":"https://us.pandora.net/on/demandware.static/-/Sites-pandora-master-catalog/default/dwbb259ca6/productimages/singlepackshot/561469C02_RGB.png","mode":1}</v>
      </c>
      <c r="D2135" s="5" t="str">
        <f ca="1">IFERROR(ROWSDUMMYFUNCTION(IF(A2135="","",CONCATENATE("https://us.pandora.net/on/demandware.static/-/Sites-pandora-master-catalog/default/dwbb259ca6/productimages/singlepackshot/",LEFT(A2135,FIND("-",A2135&amp;"-")-1),"_RGB.png"))),"https://us.pandora.net/on/demandware.static/-/Sites-pandora-master-catalog/default/dwbb259ca6/productimages/singlepackshot/561469C02_RGB.png")</f>
        <v>https://us.pandora.net/on/demandware.static/-/Sites-pandora-master-catalog/default/dwbb259ca6/productimages/singlepackshot/561469C02_RGB.png</v>
      </c>
    </row>
    <row r="2136" spans="1:4" x14ac:dyDescent="0.25">
      <c r="A2136" s="3" t="s">
        <v>2138</v>
      </c>
      <c r="B2136" s="4">
        <v>159</v>
      </c>
      <c r="C2136" s="3" t="str">
        <f ca="1">IFERROR(ROWSDUMMYFUNCTION(IF(A2136="","",IFERROR(IMAGE(CONCATENATE("https://us.pandora.net/on/demandware.static/-/Sites-pandora-master-catalog/default/dwbb259ca6/productimages/singlepackshot/",LEFT(A2136,FIND("-",A2136&amp;"-")-1),"_RGB.png")),""))),"{""url"":""https://us.pandora.net/on/demandware.static/-/Sites-pandora-master-catalog/default/dwbb259ca6/productimages/singlepackshot/561469C02_RGB.png"",""mode"":1}")</f>
        <v>{"url":"https://us.pandora.net/on/demandware.static/-/Sites-pandora-master-catalog/default/dwbb259ca6/productimages/singlepackshot/561469C02_RGB.png","mode":1}</v>
      </c>
      <c r="D2136" s="5" t="str">
        <f ca="1">IFERROR(ROWSDUMMYFUNCTION(IF(A2136="","",CONCATENATE("https://us.pandora.net/on/demandware.static/-/Sites-pandora-master-catalog/default/dwbb259ca6/productimages/singlepackshot/",LEFT(A2136,FIND("-",A2136&amp;"-")-1),"_RGB.png"))),"https://us.pandora.net/on/demandware.static/-/Sites-pandora-master-catalog/default/dwbb259ca6/productimages/singlepackshot/561469C02_RGB.png")</f>
        <v>https://us.pandora.net/on/demandware.static/-/Sites-pandora-master-catalog/default/dwbb259ca6/productimages/singlepackshot/561469C02_RGB.png</v>
      </c>
    </row>
    <row r="2137" spans="1:4" x14ac:dyDescent="0.25">
      <c r="A2137" s="3" t="s">
        <v>2139</v>
      </c>
      <c r="B2137" s="4">
        <v>159</v>
      </c>
      <c r="C2137" s="3" t="str">
        <f ca="1">IFERROR(ROWSDUMMYFUNCTION(IF(A2137="","",IFERROR(IMAGE(CONCATENATE("https://us.pandora.net/on/demandware.static/-/Sites-pandora-master-catalog/default/dwbb259ca6/productimages/singlepackshot/",LEFT(A2137,FIND("-",A2137&amp;"-")-1),"_RGB.png")),""))),"{""url"":""https://us.pandora.net/on/demandware.static/-/Sites-pandora-master-catalog/default/dwbb259ca6/productimages/singlepackshot/561469C03_RGB.png"",""mode"":1}")</f>
        <v>{"url":"https://us.pandora.net/on/demandware.static/-/Sites-pandora-master-catalog/default/dwbb259ca6/productimages/singlepackshot/561469C03_RGB.png","mode":1}</v>
      </c>
      <c r="D2137" s="5" t="str">
        <f ca="1">IFERROR(ROWSDUMMYFUNCTION(IF(A2137="","",CONCATENATE("https://us.pandora.net/on/demandware.static/-/Sites-pandora-master-catalog/default/dwbb259ca6/productimages/singlepackshot/",LEFT(A2137,FIND("-",A2137&amp;"-")-1),"_RGB.png"))),"https://us.pandora.net/on/demandware.static/-/Sites-pandora-master-catalog/default/dwbb259ca6/productimages/singlepackshot/561469C03_RGB.png")</f>
        <v>https://us.pandora.net/on/demandware.static/-/Sites-pandora-master-catalog/default/dwbb259ca6/productimages/singlepackshot/561469C03_RGB.png</v>
      </c>
    </row>
    <row r="2138" spans="1:4" x14ac:dyDescent="0.25">
      <c r="A2138" s="3" t="s">
        <v>2140</v>
      </c>
      <c r="B2138" s="4">
        <v>159</v>
      </c>
      <c r="C2138" s="3" t="str">
        <f ca="1">IFERROR(ROWSDUMMYFUNCTION(IF(A2138="","",IFERROR(IMAGE(CONCATENATE("https://us.pandora.net/on/demandware.static/-/Sites-pandora-master-catalog/default/dwbb259ca6/productimages/singlepackshot/",LEFT(A2138,FIND("-",A2138&amp;"-")-1),"_RGB.png")),""))),"{""url"":""https://us.pandora.net/on/demandware.static/-/Sites-pandora-master-catalog/default/dwbb259ca6/productimages/singlepackshot/561469C03_RGB.png"",""mode"":1}")</f>
        <v>{"url":"https://us.pandora.net/on/demandware.static/-/Sites-pandora-master-catalog/default/dwbb259ca6/productimages/singlepackshot/561469C03_RGB.png","mode":1}</v>
      </c>
      <c r="D2138" s="5" t="str">
        <f ca="1">IFERROR(ROWSDUMMYFUNCTION(IF(A2138="","",CONCATENATE("https://us.pandora.net/on/demandware.static/-/Sites-pandora-master-catalog/default/dwbb259ca6/productimages/singlepackshot/",LEFT(A2138,FIND("-",A2138&amp;"-")-1),"_RGB.png"))),"https://us.pandora.net/on/demandware.static/-/Sites-pandora-master-catalog/default/dwbb259ca6/productimages/singlepackshot/561469C03_RGB.png")</f>
        <v>https://us.pandora.net/on/demandware.static/-/Sites-pandora-master-catalog/default/dwbb259ca6/productimages/singlepackshot/561469C03_RGB.png</v>
      </c>
    </row>
    <row r="2139" spans="1:4" x14ac:dyDescent="0.25">
      <c r="A2139" s="3" t="s">
        <v>2141</v>
      </c>
      <c r="B2139" s="4">
        <v>159</v>
      </c>
      <c r="C2139" s="3" t="str">
        <f ca="1">IFERROR(ROWSDUMMYFUNCTION(IF(A2139="","",IFERROR(IMAGE(CONCATENATE("https://us.pandora.net/on/demandware.static/-/Sites-pandora-master-catalog/default/dwbb259ca6/productimages/singlepackshot/",LEFT(A2139,FIND("-",A2139&amp;"-")-1),"_RGB.png")),""))),"{""url"":""https://us.pandora.net/on/demandware.static/-/Sites-pandora-master-catalog/default/dwbb259ca6/productimages/singlepackshot/561469C03_RGB.png"",""mode"":1}")</f>
        <v>{"url":"https://us.pandora.net/on/demandware.static/-/Sites-pandora-master-catalog/default/dwbb259ca6/productimages/singlepackshot/561469C03_RGB.png","mode":1}</v>
      </c>
      <c r="D2139" s="5" t="str">
        <f ca="1">IFERROR(ROWSDUMMYFUNCTION(IF(A2139="","",CONCATENATE("https://us.pandora.net/on/demandware.static/-/Sites-pandora-master-catalog/default/dwbb259ca6/productimages/singlepackshot/",LEFT(A2139,FIND("-",A2139&amp;"-")-1),"_RGB.png"))),"https://us.pandora.net/on/demandware.static/-/Sites-pandora-master-catalog/default/dwbb259ca6/productimages/singlepackshot/561469C03_RGB.png")</f>
        <v>https://us.pandora.net/on/demandware.static/-/Sites-pandora-master-catalog/default/dwbb259ca6/productimages/singlepackshot/561469C03_RGB.png</v>
      </c>
    </row>
    <row r="2140" spans="1:4" x14ac:dyDescent="0.25">
      <c r="A2140" s="3" t="s">
        <v>2142</v>
      </c>
      <c r="B2140" s="4">
        <v>169</v>
      </c>
      <c r="C2140" s="3" t="str">
        <f ca="1">IFERROR(ROWSDUMMYFUNCTION(IF(A2140="","",IFERROR(IMAGE(CONCATENATE("https://us.pandora.net/on/demandware.static/-/Sites-pandora-master-catalog/default/dwbb259ca6/productimages/singlepackshot/",LEFT(A2140,FIND("-",A2140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0" s="5" t="str">
        <f ca="1">IFERROR(ROWSDUMMYFUNCTION(IF(A2140="","",CONCATENATE("https://us.pandora.net/on/demandware.static/-/Sites-pandora-master-catalog/default/dwbb259ca6/productimages/singlepackshot/",LEFT(A2140,FIND("-",A2140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1" spans="1:4" x14ac:dyDescent="0.25">
      <c r="A2141" s="3" t="s">
        <v>2143</v>
      </c>
      <c r="B2141" s="4">
        <v>169</v>
      </c>
      <c r="C2141" s="3" t="str">
        <f ca="1">IFERROR(ROWSDUMMYFUNCTION(IF(A2141="","",IFERROR(IMAGE(CONCATENATE("https://us.pandora.net/on/demandware.static/-/Sites-pandora-master-catalog/default/dwbb259ca6/productimages/singlepackshot/",LEFT(A2141,FIND("-",A2141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1" s="5" t="str">
        <f ca="1">IFERROR(ROWSDUMMYFUNCTION(IF(A2141="","",CONCATENATE("https://us.pandora.net/on/demandware.static/-/Sites-pandora-master-catalog/default/dwbb259ca6/productimages/singlepackshot/",LEFT(A2141,FIND("-",A2141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2" spans="1:4" x14ac:dyDescent="0.25">
      <c r="A2142" s="3" t="s">
        <v>2144</v>
      </c>
      <c r="B2142" s="4">
        <v>169</v>
      </c>
      <c r="C2142" s="3" t="str">
        <f ca="1">IFERROR(ROWSDUMMYFUNCTION(IF(A2142="","",IFERROR(IMAGE(CONCATENATE("https://us.pandora.net/on/demandware.static/-/Sites-pandora-master-catalog/default/dwbb259ca6/productimages/singlepackshot/",LEFT(A2142,FIND("-",A2142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2" s="5" t="str">
        <f ca="1">IFERROR(ROWSDUMMYFUNCTION(IF(A2142="","",CONCATENATE("https://us.pandora.net/on/demandware.static/-/Sites-pandora-master-catalog/default/dwbb259ca6/productimages/singlepackshot/",LEFT(A2142,FIND("-",A2142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3" spans="1:4" x14ac:dyDescent="0.25">
      <c r="A2143" s="3" t="s">
        <v>2145</v>
      </c>
      <c r="B2143" s="4">
        <v>169</v>
      </c>
      <c r="C2143" s="3" t="str">
        <f ca="1">IFERROR(ROWSDUMMYFUNCTION(IF(A2143="","",IFERROR(IMAGE(CONCATENATE("https://us.pandora.net/on/demandware.static/-/Sites-pandora-master-catalog/default/dwbb259ca6/productimages/singlepackshot/",LEFT(A2143,FIND("-",A2143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3" s="5" t="str">
        <f ca="1">IFERROR(ROWSDUMMYFUNCTION(IF(A2143="","",CONCATENATE("https://us.pandora.net/on/demandware.static/-/Sites-pandora-master-catalog/default/dwbb259ca6/productimages/singlepackshot/",LEFT(A2143,FIND("-",A2143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4" spans="1:4" x14ac:dyDescent="0.25">
      <c r="A2144" s="3" t="s">
        <v>2146</v>
      </c>
      <c r="B2144" s="4">
        <v>169</v>
      </c>
      <c r="C2144" s="3" t="str">
        <f ca="1">IFERROR(ROWSDUMMYFUNCTION(IF(A2144="","",IFERROR(IMAGE(CONCATENATE("https://us.pandora.net/on/demandware.static/-/Sites-pandora-master-catalog/default/dwbb259ca6/productimages/singlepackshot/",LEFT(A2144,FIND("-",A2144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4" s="5" t="str">
        <f ca="1">IFERROR(ROWSDUMMYFUNCTION(IF(A2144="","",CONCATENATE("https://us.pandora.net/on/demandware.static/-/Sites-pandora-master-catalog/default/dwbb259ca6/productimages/singlepackshot/",LEFT(A2144,FIND("-",A2144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5" spans="1:4" x14ac:dyDescent="0.25">
      <c r="A2145" s="3" t="s">
        <v>2147</v>
      </c>
      <c r="B2145" s="4">
        <v>169</v>
      </c>
      <c r="C2145" s="3" t="str">
        <f ca="1">IFERROR(ROWSDUMMYFUNCTION(IF(A2145="","",IFERROR(IMAGE(CONCATENATE("https://us.pandora.net/on/demandware.static/-/Sites-pandora-master-catalog/default/dwbb259ca6/productimages/singlepackshot/",LEFT(A2145,FIND("-",A2145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5" s="5" t="str">
        <f ca="1">IFERROR(ROWSDUMMYFUNCTION(IF(A2145="","",CONCATENATE("https://us.pandora.net/on/demandware.static/-/Sites-pandora-master-catalog/default/dwbb259ca6/productimages/singlepackshot/",LEFT(A2145,FIND("-",A2145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6" spans="1:4" x14ac:dyDescent="0.25">
      <c r="A2146" s="3" t="s">
        <v>2148</v>
      </c>
      <c r="B2146" s="4">
        <v>169</v>
      </c>
      <c r="C2146" s="3" t="str">
        <f ca="1">IFERROR(ROWSDUMMYFUNCTION(IF(A2146="","",IFERROR(IMAGE(CONCATENATE("https://us.pandora.net/on/demandware.static/-/Sites-pandora-master-catalog/default/dwbb259ca6/productimages/singlepackshot/",LEFT(A2146,FIND("-",A2146&amp;"-")-1),"_RGB.png")),""))),"{""url"":""https://us.pandora.net/on/demandware.static/-/Sites-pandora-master-catalog/default/dwbb259ca6/productimages/singlepackshot/562731C00_RGB.png"",""mode"":1}")</f>
        <v>{"url":"https://us.pandora.net/on/demandware.static/-/Sites-pandora-master-catalog/default/dwbb259ca6/productimages/singlepackshot/562731C00_RGB.png","mode":1}</v>
      </c>
      <c r="D2146" s="5" t="str">
        <f ca="1">IFERROR(ROWSDUMMYFUNCTION(IF(A2146="","",CONCATENATE("https://us.pandora.net/on/demandware.static/-/Sites-pandora-master-catalog/default/dwbb259ca6/productimages/singlepackshot/",LEFT(A2146,FIND("-",A2146&amp;"-")-1),"_RGB.png"))),"https://us.pandora.net/on/demandware.static/-/Sites-pandora-master-catalog/default/dwbb259ca6/productimages/singlepackshot/562731C00_RGB.png")</f>
        <v>https://us.pandora.net/on/demandware.static/-/Sites-pandora-master-catalog/default/dwbb259ca6/productimages/singlepackshot/562731C00_RGB.png</v>
      </c>
    </row>
    <row r="2147" spans="1:4" x14ac:dyDescent="0.25">
      <c r="A2147" s="3" t="s">
        <v>2149</v>
      </c>
      <c r="B2147" s="4">
        <v>179</v>
      </c>
      <c r="C2147" s="3" t="str">
        <f ca="1">IFERROR(ROWSDUMMYFUNCTION(IF(A2147="","",IFERROR(IMAGE(CONCATENATE("https://us.pandora.net/on/demandware.static/-/Sites-pandora-master-catalog/default/dwbb259ca6/productimages/singlepackshot/",LEFT(A2147,FIND("-",A2147&amp;"-")-1),"_RGB.png")),""))),"{""url"":""https://us.pandora.net/on/demandware.static/-/Sites-pandora-master-catalog/default/dwbb259ca6/productimages/singlepackshot/562793C00_RGB.png"",""mode"":1}")</f>
        <v>{"url":"https://us.pandora.net/on/demandware.static/-/Sites-pandora-master-catalog/default/dwbb259ca6/productimages/singlepackshot/562793C00_RGB.png","mode":1}</v>
      </c>
      <c r="D2147" s="5" t="str">
        <f ca="1">IFERROR(ROWSDUMMYFUNCTION(IF(A2147="","",CONCATENATE("https://us.pandora.net/on/demandware.static/-/Sites-pandora-master-catalog/default/dwbb259ca6/productimages/singlepackshot/",LEFT(A2147,FIND("-",A2147&amp;"-")-1),"_RGB.png"))),"https://us.pandora.net/on/demandware.static/-/Sites-pandora-master-catalog/default/dwbb259ca6/productimages/singlepackshot/562793C00_RGB.png")</f>
        <v>https://us.pandora.net/on/demandware.static/-/Sites-pandora-master-catalog/default/dwbb259ca6/productimages/singlepackshot/562793C00_RGB.png</v>
      </c>
    </row>
    <row r="2148" spans="1:4" x14ac:dyDescent="0.25">
      <c r="A2148" s="3" t="s">
        <v>2150</v>
      </c>
      <c r="B2148" s="4">
        <v>179</v>
      </c>
      <c r="C2148" s="3" t="str">
        <f ca="1">IFERROR(ROWSDUMMYFUNCTION(IF(A2148="","",IFERROR(IMAGE(CONCATENATE("https://us.pandora.net/on/demandware.static/-/Sites-pandora-master-catalog/default/dwbb259ca6/productimages/singlepackshot/",LEFT(A2148,FIND("-",A2148&amp;"-")-1),"_RGB.png")),""))),"{""url"":""https://us.pandora.net/on/demandware.static/-/Sites-pandora-master-catalog/default/dwbb259ca6/productimages/singlepackshot/562793C00_RGB.png"",""mode"":1}")</f>
        <v>{"url":"https://us.pandora.net/on/demandware.static/-/Sites-pandora-master-catalog/default/dwbb259ca6/productimages/singlepackshot/562793C00_RGB.png","mode":1}</v>
      </c>
      <c r="D2148" s="5" t="str">
        <f ca="1">IFERROR(ROWSDUMMYFUNCTION(IF(A2148="","",CONCATENATE("https://us.pandora.net/on/demandware.static/-/Sites-pandora-master-catalog/default/dwbb259ca6/productimages/singlepackshot/",LEFT(A2148,FIND("-",A2148&amp;"-")-1),"_RGB.png"))),"https://us.pandora.net/on/demandware.static/-/Sites-pandora-master-catalog/default/dwbb259ca6/productimages/singlepackshot/562793C00_RGB.png")</f>
        <v>https://us.pandora.net/on/demandware.static/-/Sites-pandora-master-catalog/default/dwbb259ca6/productimages/singlepackshot/562793C00_RGB.png</v>
      </c>
    </row>
    <row r="2149" spans="1:4" x14ac:dyDescent="0.25">
      <c r="A2149" s="3" t="s">
        <v>2151</v>
      </c>
      <c r="B2149" s="4">
        <v>179</v>
      </c>
      <c r="C2149" s="3" t="str">
        <f ca="1">IFERROR(ROWSDUMMYFUNCTION(IF(A2149="","",IFERROR(IMAGE(CONCATENATE("https://us.pandora.net/on/demandware.static/-/Sites-pandora-master-catalog/default/dwbb259ca6/productimages/singlepackshot/",LEFT(A2149,FIND("-",A2149&amp;"-")-1),"_RGB.png")),""))),"{""url"":""https://us.pandora.net/on/demandware.static/-/Sites-pandora-master-catalog/default/dwbb259ca6/productimages/singlepackshot/562793C00_RGB.png"",""mode"":1}")</f>
        <v>{"url":"https://us.pandora.net/on/demandware.static/-/Sites-pandora-master-catalog/default/dwbb259ca6/productimages/singlepackshot/562793C00_RGB.png","mode":1}</v>
      </c>
      <c r="D2149" s="5" t="str">
        <f ca="1">IFERROR(ROWSDUMMYFUNCTION(IF(A2149="","",CONCATENATE("https://us.pandora.net/on/demandware.static/-/Sites-pandora-master-catalog/default/dwbb259ca6/productimages/singlepackshot/",LEFT(A2149,FIND("-",A2149&amp;"-")-1),"_RGB.png"))),"https://us.pandora.net/on/demandware.static/-/Sites-pandora-master-catalog/default/dwbb259ca6/productimages/singlepackshot/562793C00_RGB.png")</f>
        <v>https://us.pandora.net/on/demandware.static/-/Sites-pandora-master-catalog/default/dwbb259ca6/productimages/singlepackshot/562793C00_RGB.png</v>
      </c>
    </row>
    <row r="2150" spans="1:4" x14ac:dyDescent="0.25">
      <c r="A2150" s="3" t="s">
        <v>2152</v>
      </c>
      <c r="B2150" s="4">
        <v>179</v>
      </c>
      <c r="C2150" s="3" t="str">
        <f ca="1">IFERROR(ROWSDUMMYFUNCTION(IF(A2150="","",IFERROR(IMAGE(CONCATENATE("https://us.pandora.net/on/demandware.static/-/Sites-pandora-master-catalog/default/dwbb259ca6/productimages/singlepackshot/",LEFT(A2150,FIND("-",A2150&amp;"-")-1),"_RGB.png")),""))),"{""url"":""https://us.pandora.net/on/demandware.static/-/Sites-pandora-master-catalog/default/dwbb259ca6/productimages/singlepackshot/562793C00_RGB.png"",""mode"":1}")</f>
        <v>{"url":"https://us.pandora.net/on/demandware.static/-/Sites-pandora-master-catalog/default/dwbb259ca6/productimages/singlepackshot/562793C00_RGB.png","mode":1}</v>
      </c>
      <c r="D2150" s="5" t="str">
        <f ca="1">IFERROR(ROWSDUMMYFUNCTION(IF(A2150="","",CONCATENATE("https://us.pandora.net/on/demandware.static/-/Sites-pandora-master-catalog/default/dwbb259ca6/productimages/singlepackshot/",LEFT(A2150,FIND("-",A2150&amp;"-")-1),"_RGB.png"))),"https://us.pandora.net/on/demandware.static/-/Sites-pandora-master-catalog/default/dwbb259ca6/productimages/singlepackshot/562793C00_RGB.png")</f>
        <v>https://us.pandora.net/on/demandware.static/-/Sites-pandora-master-catalog/default/dwbb259ca6/productimages/singlepackshot/562793C00_RGB.png</v>
      </c>
    </row>
    <row r="2151" spans="1:4" x14ac:dyDescent="0.25">
      <c r="A2151" s="3" t="s">
        <v>2153</v>
      </c>
      <c r="B2151" s="4">
        <v>179</v>
      </c>
      <c r="C2151" s="3" t="str">
        <f ca="1">IFERROR(ROWSDUMMYFUNCTION(IF(A2151="","",IFERROR(IMAGE(CONCATENATE("https://us.pandora.net/on/demandware.static/-/Sites-pandora-master-catalog/default/dwbb259ca6/productimages/singlepackshot/",LEFT(A2151,FIND("-",A2151&amp;"-")-1),"_RGB.png")),""))),"{""url"":""https://us.pandora.net/on/demandware.static/-/Sites-pandora-master-catalog/default/dwbb259ca6/productimages/singlepackshot/562793C00_RGB.png"",""mode"":1}")</f>
        <v>{"url":"https://us.pandora.net/on/demandware.static/-/Sites-pandora-master-catalog/default/dwbb259ca6/productimages/singlepackshot/562793C00_RGB.png","mode":1}</v>
      </c>
      <c r="D2151" s="5" t="str">
        <f ca="1">IFERROR(ROWSDUMMYFUNCTION(IF(A2151="","",CONCATENATE("https://us.pandora.net/on/demandware.static/-/Sites-pandora-master-catalog/default/dwbb259ca6/productimages/singlepackshot/",LEFT(A2151,FIND("-",A2151&amp;"-")-1),"_RGB.png"))),"https://us.pandora.net/on/demandware.static/-/Sites-pandora-master-catalog/default/dwbb259ca6/productimages/singlepackshot/562793C00_RGB.png")</f>
        <v>https://us.pandora.net/on/demandware.static/-/Sites-pandora-master-catalog/default/dwbb259ca6/productimages/singlepackshot/562793C00_RGB.png</v>
      </c>
    </row>
    <row r="2152" spans="1:4" x14ac:dyDescent="0.25">
      <c r="A2152" s="3" t="s">
        <v>2154</v>
      </c>
      <c r="B2152" s="4">
        <v>349</v>
      </c>
      <c r="C2152" s="3" t="str">
        <f ca="1">IFERROR(ROWSDUMMYFUNCTION(IF(A2152="","",IFERROR(IMAGE(CONCATENATE("https://us.pandora.net/on/demandware.static/-/Sites-pandora-master-catalog/default/dwbb259ca6/productimages/singlepackshot/",LEFT(A2152,FIND("-",A2152&amp;"-")-1),"_RGB.png")),""))),"{""url"":""https://us.pandora.net/on/demandware.static/-/Sites-pandora-master-catalog/default/dwbb259ca6/productimages/singlepackshot/563008C01_RGB.png"",""mode"":1}")</f>
        <v>{"url":"https://us.pandora.net/on/demandware.static/-/Sites-pandora-master-catalog/default/dwbb259ca6/productimages/singlepackshot/563008C01_RGB.png","mode":1}</v>
      </c>
      <c r="D2152" s="5" t="str">
        <f ca="1">IFERROR(ROWSDUMMYFUNCTION(IF(A2152="","",CONCATENATE("https://us.pandora.net/on/demandware.static/-/Sites-pandora-master-catalog/default/dwbb259ca6/productimages/singlepackshot/",LEFT(A2152,FIND("-",A2152&amp;"-")-1),"_RGB.png"))),"https://us.pandora.net/on/demandware.static/-/Sites-pandora-master-catalog/default/dwbb259ca6/productimages/singlepackshot/563008C01_RGB.png")</f>
        <v>https://us.pandora.net/on/demandware.static/-/Sites-pandora-master-catalog/default/dwbb259ca6/productimages/singlepackshot/563008C01_RGB.png</v>
      </c>
    </row>
    <row r="2153" spans="1:4" x14ac:dyDescent="0.25">
      <c r="A2153" s="3" t="s">
        <v>2155</v>
      </c>
      <c r="B2153" s="4">
        <v>349</v>
      </c>
      <c r="C2153" s="3" t="str">
        <f ca="1">IFERROR(ROWSDUMMYFUNCTION(IF(A2153="","",IFERROR(IMAGE(CONCATENATE("https://us.pandora.net/on/demandware.static/-/Sites-pandora-master-catalog/default/dwbb259ca6/productimages/singlepackshot/",LEFT(A2153,FIND("-",A2153&amp;"-")-1),"_RGB.png")),""))),"{""url"":""https://us.pandora.net/on/demandware.static/-/Sites-pandora-master-catalog/default/dwbb259ca6/productimages/singlepackshot/563008C01_RGB.png"",""mode"":1}")</f>
        <v>{"url":"https://us.pandora.net/on/demandware.static/-/Sites-pandora-master-catalog/default/dwbb259ca6/productimages/singlepackshot/563008C01_RGB.png","mode":1}</v>
      </c>
      <c r="D2153" s="5" t="str">
        <f ca="1">IFERROR(ROWSDUMMYFUNCTION(IF(A2153="","",CONCATENATE("https://us.pandora.net/on/demandware.static/-/Sites-pandora-master-catalog/default/dwbb259ca6/productimages/singlepackshot/",LEFT(A2153,FIND("-",A2153&amp;"-")-1),"_RGB.png"))),"https://us.pandora.net/on/demandware.static/-/Sites-pandora-master-catalog/default/dwbb259ca6/productimages/singlepackshot/563008C01_RGB.png")</f>
        <v>https://us.pandora.net/on/demandware.static/-/Sites-pandora-master-catalog/default/dwbb259ca6/productimages/singlepackshot/563008C01_RGB.png</v>
      </c>
    </row>
    <row r="2154" spans="1:4" x14ac:dyDescent="0.25">
      <c r="A2154" s="3" t="s">
        <v>2156</v>
      </c>
      <c r="B2154" s="4">
        <v>349</v>
      </c>
      <c r="C2154" s="3" t="str">
        <f ca="1">IFERROR(ROWSDUMMYFUNCTION(IF(A2154="","",IFERROR(IMAGE(CONCATENATE("https://us.pandora.net/on/demandware.static/-/Sites-pandora-master-catalog/default/dwbb259ca6/productimages/singlepackshot/",LEFT(A2154,FIND("-",A2154&amp;"-")-1),"_RGB.png")),""))),"{""url"":""https://us.pandora.net/on/demandware.static/-/Sites-pandora-master-catalog/default/dwbb259ca6/productimages/singlepackshot/563008C01_RGB.png"",""mode"":1}")</f>
        <v>{"url":"https://us.pandora.net/on/demandware.static/-/Sites-pandora-master-catalog/default/dwbb259ca6/productimages/singlepackshot/563008C01_RGB.png","mode":1}</v>
      </c>
      <c r="D2154" s="5" t="str">
        <f ca="1">IFERROR(ROWSDUMMYFUNCTION(IF(A2154="","",CONCATENATE("https://us.pandora.net/on/demandware.static/-/Sites-pandora-master-catalog/default/dwbb259ca6/productimages/singlepackshot/",LEFT(A2154,FIND("-",A2154&amp;"-")-1),"_RGB.png"))),"https://us.pandora.net/on/demandware.static/-/Sites-pandora-master-catalog/default/dwbb259ca6/productimages/singlepackshot/563008C01_RGB.png")</f>
        <v>https://us.pandora.net/on/demandware.static/-/Sites-pandora-master-catalog/default/dwbb259ca6/productimages/singlepackshot/563008C01_RGB.png</v>
      </c>
    </row>
    <row r="2155" spans="1:4" x14ac:dyDescent="0.25">
      <c r="A2155" s="3" t="s">
        <v>2157</v>
      </c>
      <c r="B2155" s="4">
        <v>139</v>
      </c>
      <c r="C2155" s="3" t="str">
        <f ca="1">IFERROR(ROWSDUMMYFUNCTION(IF(A2155="","",IFERROR(IMAGE(CONCATENATE("https://us.pandora.net/on/demandware.static/-/Sites-pandora-master-catalog/default/dwbb259ca6/productimages/singlepackshot/",LEFT(A2155,FIND("-",A2155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55" s="5" t="str">
        <f ca="1">IFERROR(ROWSDUMMYFUNCTION(IF(A2155="","",CONCATENATE("https://us.pandora.net/on/demandware.static/-/Sites-pandora-master-catalog/default/dwbb259ca6/productimages/singlepackshot/",LEFT(A2155,FIND("-",A2155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56" spans="1:4" x14ac:dyDescent="0.25">
      <c r="A2156" s="3" t="s">
        <v>2158</v>
      </c>
      <c r="B2156" s="4">
        <v>139</v>
      </c>
      <c r="C2156" s="3" t="str">
        <f ca="1">IFERROR(ROWSDUMMYFUNCTION(IF(A2156="","",IFERROR(IMAGE(CONCATENATE("https://us.pandora.net/on/demandware.static/-/Sites-pandora-master-catalog/default/dwbb259ca6/productimages/singlepackshot/",LEFT(A2156,FIND("-",A2156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56" s="5" t="str">
        <f ca="1">IFERROR(ROWSDUMMYFUNCTION(IF(A2156="","",CONCATENATE("https://us.pandora.net/on/demandware.static/-/Sites-pandora-master-catalog/default/dwbb259ca6/productimages/singlepackshot/",LEFT(A2156,FIND("-",A2156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57" spans="1:4" x14ac:dyDescent="0.25">
      <c r="A2157" s="3" t="s">
        <v>2159</v>
      </c>
      <c r="B2157" s="4">
        <v>139</v>
      </c>
      <c r="C2157" s="3" t="str">
        <f ca="1">IFERROR(ROWSDUMMYFUNCTION(IF(A2157="","",IFERROR(IMAGE(CONCATENATE("https://us.pandora.net/on/demandware.static/-/Sites-pandora-master-catalog/default/dwbb259ca6/productimages/singlepackshot/",LEFT(A2157,FIND("-",A2157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57" s="5" t="str">
        <f ca="1">IFERROR(ROWSDUMMYFUNCTION(IF(A2157="","",CONCATENATE("https://us.pandora.net/on/demandware.static/-/Sites-pandora-master-catalog/default/dwbb259ca6/productimages/singlepackshot/",LEFT(A2157,FIND("-",A2157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58" spans="1:4" x14ac:dyDescent="0.25">
      <c r="A2158" s="3" t="s">
        <v>2160</v>
      </c>
      <c r="B2158" s="4">
        <v>139</v>
      </c>
      <c r="C2158" s="3" t="str">
        <f ca="1">IFERROR(ROWSDUMMYFUNCTION(IF(A2158="","",IFERROR(IMAGE(CONCATENATE("https://us.pandora.net/on/demandware.static/-/Sites-pandora-master-catalog/default/dwbb259ca6/productimages/singlepackshot/",LEFT(A2158,FIND("-",A2158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58" s="5" t="str">
        <f ca="1">IFERROR(ROWSDUMMYFUNCTION(IF(A2158="","",CONCATENATE("https://us.pandora.net/on/demandware.static/-/Sites-pandora-master-catalog/default/dwbb259ca6/productimages/singlepackshot/",LEFT(A2158,FIND("-",A2158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59" spans="1:4" x14ac:dyDescent="0.25">
      <c r="A2159" s="3" t="s">
        <v>2161</v>
      </c>
      <c r="B2159" s="4">
        <v>139</v>
      </c>
      <c r="C2159" s="3" t="str">
        <f ca="1">IFERROR(ROWSDUMMYFUNCTION(IF(A2159="","",IFERROR(IMAGE(CONCATENATE("https://us.pandora.net/on/demandware.static/-/Sites-pandora-master-catalog/default/dwbb259ca6/productimages/singlepackshot/",LEFT(A2159,FIND("-",A2159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59" s="5" t="str">
        <f ca="1">IFERROR(ROWSDUMMYFUNCTION(IF(A2159="","",CONCATENATE("https://us.pandora.net/on/demandware.static/-/Sites-pandora-master-catalog/default/dwbb259ca6/productimages/singlepackshot/",LEFT(A2159,FIND("-",A2159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60" spans="1:4" x14ac:dyDescent="0.25">
      <c r="A2160" s="3" t="s">
        <v>2162</v>
      </c>
      <c r="B2160" s="4">
        <v>139</v>
      </c>
      <c r="C2160" s="3" t="str">
        <f ca="1">IFERROR(ROWSDUMMYFUNCTION(IF(A2160="","",IFERROR(IMAGE(CONCATENATE("https://us.pandora.net/on/demandware.static/-/Sites-pandora-master-catalog/default/dwbb259ca6/productimages/singlepackshot/",LEFT(A2160,FIND("-",A2160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60" s="5" t="str">
        <f ca="1">IFERROR(ROWSDUMMYFUNCTION(IF(A2160="","",CONCATENATE("https://us.pandora.net/on/demandware.static/-/Sites-pandora-master-catalog/default/dwbb259ca6/productimages/singlepackshot/",LEFT(A2160,FIND("-",A2160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61" spans="1:4" x14ac:dyDescent="0.25">
      <c r="A2161" s="3" t="s">
        <v>2163</v>
      </c>
      <c r="B2161" s="4">
        <v>139</v>
      </c>
      <c r="C2161" s="3" t="str">
        <f ca="1">IFERROR(ROWSDUMMYFUNCTION(IF(A2161="","",IFERROR(IMAGE(CONCATENATE("https://us.pandora.net/on/demandware.static/-/Sites-pandora-master-catalog/default/dwbb259ca6/productimages/singlepackshot/",LEFT(A2161,FIND("-",A2161&amp;"-")-1),"_RGB.png")),""))),"{""url"":""https://us.pandora.net/on/demandware.static/-/Sites-pandora-master-catalog/default/dwbb259ca6/productimages/singlepackshot/563050C00_RGB.png"",""mode"":1}")</f>
        <v>{"url":"https://us.pandora.net/on/demandware.static/-/Sites-pandora-master-catalog/default/dwbb259ca6/productimages/singlepackshot/563050C00_RGB.png","mode":1}</v>
      </c>
      <c r="D2161" s="5" t="str">
        <f ca="1">IFERROR(ROWSDUMMYFUNCTION(IF(A2161="","",CONCATENATE("https://us.pandora.net/on/demandware.static/-/Sites-pandora-master-catalog/default/dwbb259ca6/productimages/singlepackshot/",LEFT(A2161,FIND("-",A2161&amp;"-")-1),"_RGB.png"))),"https://us.pandora.net/on/demandware.static/-/Sites-pandora-master-catalog/default/dwbb259ca6/productimages/singlepackshot/563050C00_RGB.png")</f>
        <v>https://us.pandora.net/on/demandware.static/-/Sites-pandora-master-catalog/default/dwbb259ca6/productimages/singlepackshot/563050C00_RGB.png</v>
      </c>
    </row>
    <row r="2162" spans="1:4" x14ac:dyDescent="0.25">
      <c r="A2162" s="3" t="s">
        <v>2164</v>
      </c>
      <c r="B2162" s="4">
        <v>169</v>
      </c>
      <c r="C2162" s="3" t="str">
        <f ca="1">IFERROR(ROWSDUMMYFUNCTION(IF(A2162="","",IFERROR(IMAGE(CONCATENATE("https://us.pandora.net/on/demandware.static/-/Sites-pandora-master-catalog/default/dwbb259ca6/productimages/singlepackshot/",LEFT(A2162,FIND("-",A2162&amp;"-")-1),"_RGB.png")),""))),"{""url"":""https://us.pandora.net/on/demandware.static/-/Sites-pandora-master-catalog/default/dwbb259ca6/productimages/singlepackshot/563090C00_RGB.png"",""mode"":1}")</f>
        <v>{"url":"https://us.pandora.net/on/demandware.static/-/Sites-pandora-master-catalog/default/dwbb259ca6/productimages/singlepackshot/563090C00_RGB.png","mode":1}</v>
      </c>
      <c r="D2162" s="5" t="str">
        <f ca="1">IFERROR(ROWSDUMMYFUNCTION(IF(A2162="","",CONCATENATE("https://us.pandora.net/on/demandware.static/-/Sites-pandora-master-catalog/default/dwbb259ca6/productimages/singlepackshot/",LEFT(A2162,FIND("-",A2162&amp;"-")-1),"_RGB.png"))),"https://us.pandora.net/on/demandware.static/-/Sites-pandora-master-catalog/default/dwbb259ca6/productimages/singlepackshot/563090C00_RGB.png")</f>
        <v>https://us.pandora.net/on/demandware.static/-/Sites-pandora-master-catalog/default/dwbb259ca6/productimages/singlepackshot/563090C00_RGB.png</v>
      </c>
    </row>
    <row r="2163" spans="1:4" x14ac:dyDescent="0.25">
      <c r="A2163" s="3" t="s">
        <v>2165</v>
      </c>
      <c r="B2163" s="4">
        <v>169</v>
      </c>
      <c r="C2163" s="3" t="str">
        <f ca="1">IFERROR(ROWSDUMMYFUNCTION(IF(A2163="","",IFERROR(IMAGE(CONCATENATE("https://us.pandora.net/on/demandware.static/-/Sites-pandora-master-catalog/default/dwbb259ca6/productimages/singlepackshot/",LEFT(A2163,FIND("-",A2163&amp;"-")-1),"_RGB.png")),""))),"{""url"":""https://us.pandora.net/on/demandware.static/-/Sites-pandora-master-catalog/default/dwbb259ca6/productimages/singlepackshot/563173C01_RGB.png"",""mode"":1}")</f>
        <v>{"url":"https://us.pandora.net/on/demandware.static/-/Sites-pandora-master-catalog/default/dwbb259ca6/productimages/singlepackshot/563173C01_RGB.png","mode":1}</v>
      </c>
      <c r="D2163" s="5" t="str">
        <f ca="1">IFERROR(ROWSDUMMYFUNCTION(IF(A2163="","",CONCATENATE("https://us.pandora.net/on/demandware.static/-/Sites-pandora-master-catalog/default/dwbb259ca6/productimages/singlepackshot/",LEFT(A2163,FIND("-",A2163&amp;"-")-1),"_RGB.png"))),"https://us.pandora.net/on/demandware.static/-/Sites-pandora-master-catalog/default/dwbb259ca6/productimages/singlepackshot/563173C01_RGB.png")</f>
        <v>https://us.pandora.net/on/demandware.static/-/Sites-pandora-master-catalog/default/dwbb259ca6/productimages/singlepackshot/563173C01_RGB.png</v>
      </c>
    </row>
    <row r="2164" spans="1:4" x14ac:dyDescent="0.25">
      <c r="A2164" s="3" t="s">
        <v>2166</v>
      </c>
      <c r="B2164" s="4">
        <v>169</v>
      </c>
      <c r="C2164" s="3" t="str">
        <f ca="1">IFERROR(ROWSDUMMYFUNCTION(IF(A2164="","",IFERROR(IMAGE(CONCATENATE("https://us.pandora.net/on/demandware.static/-/Sites-pandora-master-catalog/default/dwbb259ca6/productimages/singlepackshot/",LEFT(A2164,FIND("-",A2164&amp;"-")-1),"_RGB.png")),""))),"{""url"":""https://us.pandora.net/on/demandware.static/-/Sites-pandora-master-catalog/default/dwbb259ca6/productimages/singlepackshot/563173C01_RGB.png"",""mode"":1}")</f>
        <v>{"url":"https://us.pandora.net/on/demandware.static/-/Sites-pandora-master-catalog/default/dwbb259ca6/productimages/singlepackshot/563173C01_RGB.png","mode":1}</v>
      </c>
      <c r="D2164" s="5" t="str">
        <f ca="1">IFERROR(ROWSDUMMYFUNCTION(IF(A2164="","",CONCATENATE("https://us.pandora.net/on/demandware.static/-/Sites-pandora-master-catalog/default/dwbb259ca6/productimages/singlepackshot/",LEFT(A2164,FIND("-",A2164&amp;"-")-1),"_RGB.png"))),"https://us.pandora.net/on/demandware.static/-/Sites-pandora-master-catalog/default/dwbb259ca6/productimages/singlepackshot/563173C01_RGB.png")</f>
        <v>https://us.pandora.net/on/demandware.static/-/Sites-pandora-master-catalog/default/dwbb259ca6/productimages/singlepackshot/563173C01_RGB.png</v>
      </c>
    </row>
    <row r="2165" spans="1:4" x14ac:dyDescent="0.25">
      <c r="A2165" s="3" t="s">
        <v>2167</v>
      </c>
      <c r="B2165" s="4">
        <v>169</v>
      </c>
      <c r="C2165" s="3" t="str">
        <f ca="1">IFERROR(ROWSDUMMYFUNCTION(IF(A2165="","",IFERROR(IMAGE(CONCATENATE("https://us.pandora.net/on/demandware.static/-/Sites-pandora-master-catalog/default/dwbb259ca6/productimages/singlepackshot/",LEFT(A2165,FIND("-",A2165&amp;"-")-1),"_RGB.png")),""))),"{""url"":""https://us.pandora.net/on/demandware.static/-/Sites-pandora-master-catalog/default/dwbb259ca6/productimages/singlepackshot/563173C01_RGB.png"",""mode"":1}")</f>
        <v>{"url":"https://us.pandora.net/on/demandware.static/-/Sites-pandora-master-catalog/default/dwbb259ca6/productimages/singlepackshot/563173C01_RGB.png","mode":1}</v>
      </c>
      <c r="D2165" s="5" t="str">
        <f ca="1">IFERROR(ROWSDUMMYFUNCTION(IF(A2165="","",CONCATENATE("https://us.pandora.net/on/demandware.static/-/Sites-pandora-master-catalog/default/dwbb259ca6/productimages/singlepackshot/",LEFT(A2165,FIND("-",A2165&amp;"-")-1),"_RGB.png"))),"https://us.pandora.net/on/demandware.static/-/Sites-pandora-master-catalog/default/dwbb259ca6/productimages/singlepackshot/563173C01_RGB.png")</f>
        <v>https://us.pandora.net/on/demandware.static/-/Sites-pandora-master-catalog/default/dwbb259ca6/productimages/singlepackshot/563173C01_RGB.png</v>
      </c>
    </row>
    <row r="2166" spans="1:4" x14ac:dyDescent="0.25">
      <c r="A2166" s="3" t="s">
        <v>2168</v>
      </c>
      <c r="B2166" s="4">
        <v>279</v>
      </c>
      <c r="C2166" s="3" t="str">
        <f ca="1">IFERROR(ROWSDUMMYFUNCTION(IF(A2166="","",IFERROR(IMAGE(CONCATENATE("https://us.pandora.net/on/demandware.static/-/Sites-pandora-master-catalog/default/dwbb259ca6/productimages/singlepackshot/",LEFT(A2166,FIND("-",A2166&amp;"-")-1),"_RGB.png")),""))),"{""url"":""https://us.pandora.net/on/demandware.static/-/Sites-pandora-master-catalog/default/dwbb259ca6/productimages/singlepackshot/563302C00_RGB.png"",""mode"":1}")</f>
        <v>{"url":"https://us.pandora.net/on/demandware.static/-/Sites-pandora-master-catalog/default/dwbb259ca6/productimages/singlepackshot/563302C00_RGB.png","mode":1}</v>
      </c>
      <c r="D2166" s="5" t="str">
        <f ca="1">IFERROR(ROWSDUMMYFUNCTION(IF(A2166="","",CONCATENATE("https://us.pandora.net/on/demandware.static/-/Sites-pandora-master-catalog/default/dwbb259ca6/productimages/singlepackshot/",LEFT(A2166,FIND("-",A2166&amp;"-")-1),"_RGB.png"))),"https://us.pandora.net/on/demandware.static/-/Sites-pandora-master-catalog/default/dwbb259ca6/productimages/singlepackshot/563302C00_RGB.png")</f>
        <v>https://us.pandora.net/on/demandware.static/-/Sites-pandora-master-catalog/default/dwbb259ca6/productimages/singlepackshot/563302C00_RGB.png</v>
      </c>
    </row>
    <row r="2167" spans="1:4" x14ac:dyDescent="0.25">
      <c r="A2167" s="3" t="s">
        <v>2169</v>
      </c>
      <c r="B2167" s="4">
        <v>279</v>
      </c>
      <c r="C2167" s="3" t="str">
        <f ca="1">IFERROR(ROWSDUMMYFUNCTION(IF(A2167="","",IFERROR(IMAGE(CONCATENATE("https://us.pandora.net/on/demandware.static/-/Sites-pandora-master-catalog/default/dwbb259ca6/productimages/singlepackshot/",LEFT(A2167,FIND("-",A2167&amp;"-")-1),"_RGB.png")),""))),"{""url"":""https://us.pandora.net/on/demandware.static/-/Sites-pandora-master-catalog/default/dwbb259ca6/productimages/singlepackshot/563302C00_RGB.png"",""mode"":1}")</f>
        <v>{"url":"https://us.pandora.net/on/demandware.static/-/Sites-pandora-master-catalog/default/dwbb259ca6/productimages/singlepackshot/563302C00_RGB.png","mode":1}</v>
      </c>
      <c r="D2167" s="5" t="str">
        <f ca="1">IFERROR(ROWSDUMMYFUNCTION(IF(A2167="","",CONCATENATE("https://us.pandora.net/on/demandware.static/-/Sites-pandora-master-catalog/default/dwbb259ca6/productimages/singlepackshot/",LEFT(A2167,FIND("-",A2167&amp;"-")-1),"_RGB.png"))),"https://us.pandora.net/on/demandware.static/-/Sites-pandora-master-catalog/default/dwbb259ca6/productimages/singlepackshot/563302C00_RGB.png")</f>
        <v>https://us.pandora.net/on/demandware.static/-/Sites-pandora-master-catalog/default/dwbb259ca6/productimages/singlepackshot/563302C00_RGB.png</v>
      </c>
    </row>
    <row r="2168" spans="1:4" x14ac:dyDescent="0.25">
      <c r="A2168" s="3" t="s">
        <v>2170</v>
      </c>
      <c r="B2168" s="4">
        <v>279</v>
      </c>
      <c r="C2168" s="3" t="str">
        <f ca="1">IFERROR(ROWSDUMMYFUNCTION(IF(A2168="","",IFERROR(IMAGE(CONCATENATE("https://us.pandora.net/on/demandware.static/-/Sites-pandora-master-catalog/default/dwbb259ca6/productimages/singlepackshot/",LEFT(A2168,FIND("-",A2168&amp;"-")-1),"_RGB.png")),""))),"{""url"":""https://us.pandora.net/on/demandware.static/-/Sites-pandora-master-catalog/default/dwbb259ca6/productimages/singlepackshot/563302C00_RGB.png"",""mode"":1}")</f>
        <v>{"url":"https://us.pandora.net/on/demandware.static/-/Sites-pandora-master-catalog/default/dwbb259ca6/productimages/singlepackshot/563302C00_RGB.png","mode":1}</v>
      </c>
      <c r="D2168" s="5" t="str">
        <f ca="1">IFERROR(ROWSDUMMYFUNCTION(IF(A2168="","",CONCATENATE("https://us.pandora.net/on/demandware.static/-/Sites-pandora-master-catalog/default/dwbb259ca6/productimages/singlepackshot/",LEFT(A2168,FIND("-",A2168&amp;"-")-1),"_RGB.png"))),"https://us.pandora.net/on/demandware.static/-/Sites-pandora-master-catalog/default/dwbb259ca6/productimages/singlepackshot/563302C00_RGB.png")</f>
        <v>https://us.pandora.net/on/demandware.static/-/Sites-pandora-master-catalog/default/dwbb259ca6/productimages/singlepackshot/563302C00_RGB.png</v>
      </c>
    </row>
    <row r="2169" spans="1:4" x14ac:dyDescent="0.25">
      <c r="A2169" s="3" t="s">
        <v>2171</v>
      </c>
      <c r="B2169" s="4">
        <v>189</v>
      </c>
      <c r="C2169" s="3" t="str">
        <f ca="1">IFERROR(ROWSDUMMYFUNCTION(IF(A2169="","",IFERROR(IMAGE(CONCATENATE("https://us.pandora.net/on/demandware.static/-/Sites-pandora-master-catalog/default/dwbb259ca6/productimages/singlepackshot/",LEFT(A2169,FIND("-",A2169&amp;"-")-1),"_RGB.png")),""))),"{""url"":""https://us.pandora.net/on/demandware.static/-/Sites-pandora-master-catalog/default/dwbb259ca6/productimages/singlepackshot/563310C00_RGB.png"",""mode"":1}")</f>
        <v>{"url":"https://us.pandora.net/on/demandware.static/-/Sites-pandora-master-catalog/default/dwbb259ca6/productimages/singlepackshot/563310C00_RGB.png","mode":1}</v>
      </c>
      <c r="D2169" s="5" t="str">
        <f ca="1">IFERROR(ROWSDUMMYFUNCTION(IF(A2169="","",CONCATENATE("https://us.pandora.net/on/demandware.static/-/Sites-pandora-master-catalog/default/dwbb259ca6/productimages/singlepackshot/",LEFT(A2169,FIND("-",A2169&amp;"-")-1),"_RGB.png"))),"https://us.pandora.net/on/demandware.static/-/Sites-pandora-master-catalog/default/dwbb259ca6/productimages/singlepackshot/563310C00_RGB.png")</f>
        <v>https://us.pandora.net/on/demandware.static/-/Sites-pandora-master-catalog/default/dwbb259ca6/productimages/singlepackshot/563310C00_RGB.png</v>
      </c>
    </row>
    <row r="2170" spans="1:4" x14ac:dyDescent="0.25">
      <c r="A2170" s="3" t="s">
        <v>2172</v>
      </c>
      <c r="B2170" s="4">
        <v>189</v>
      </c>
      <c r="C2170" s="3" t="str">
        <f ca="1">IFERROR(ROWSDUMMYFUNCTION(IF(A2170="","",IFERROR(IMAGE(CONCATENATE("https://us.pandora.net/on/demandware.static/-/Sites-pandora-master-catalog/default/dwbb259ca6/productimages/singlepackshot/",LEFT(A2170,FIND("-",A2170&amp;"-")-1),"_RGB.png")),""))),"{""url"":""https://us.pandora.net/on/demandware.static/-/Sites-pandora-master-catalog/default/dwbb259ca6/productimages/singlepackshot/563310C00_RGB.png"",""mode"":1}")</f>
        <v>{"url":"https://us.pandora.net/on/demandware.static/-/Sites-pandora-master-catalog/default/dwbb259ca6/productimages/singlepackshot/563310C00_RGB.png","mode":1}</v>
      </c>
      <c r="D2170" s="5" t="str">
        <f ca="1">IFERROR(ROWSDUMMYFUNCTION(IF(A2170="","",CONCATENATE("https://us.pandora.net/on/demandware.static/-/Sites-pandora-master-catalog/default/dwbb259ca6/productimages/singlepackshot/",LEFT(A2170,FIND("-",A2170&amp;"-")-1),"_RGB.png"))),"https://us.pandora.net/on/demandware.static/-/Sites-pandora-master-catalog/default/dwbb259ca6/productimages/singlepackshot/563310C00_RGB.png")</f>
        <v>https://us.pandora.net/on/demandware.static/-/Sites-pandora-master-catalog/default/dwbb259ca6/productimages/singlepackshot/563310C00_RGB.png</v>
      </c>
    </row>
    <row r="2171" spans="1:4" x14ac:dyDescent="0.25">
      <c r="A2171" s="3" t="s">
        <v>2173</v>
      </c>
      <c r="B2171" s="4">
        <v>189</v>
      </c>
      <c r="C2171" s="3" t="str">
        <f ca="1">IFERROR(ROWSDUMMYFUNCTION(IF(A2171="","",IFERROR(IMAGE(CONCATENATE("https://us.pandora.net/on/demandware.static/-/Sites-pandora-master-catalog/default/dwbb259ca6/productimages/singlepackshot/",LEFT(A2171,FIND("-",A2171&amp;"-")-1),"_RGB.png")),""))),"{""url"":""https://us.pandora.net/on/demandware.static/-/Sites-pandora-master-catalog/default/dwbb259ca6/productimages/singlepackshot/563310C00_RGB.png"",""mode"":1}")</f>
        <v>{"url":"https://us.pandora.net/on/demandware.static/-/Sites-pandora-master-catalog/default/dwbb259ca6/productimages/singlepackshot/563310C00_RGB.png","mode":1}</v>
      </c>
      <c r="D2171" s="5" t="str">
        <f ca="1">IFERROR(ROWSDUMMYFUNCTION(IF(A2171="","",CONCATENATE("https://us.pandora.net/on/demandware.static/-/Sites-pandora-master-catalog/default/dwbb259ca6/productimages/singlepackshot/",LEFT(A2171,FIND("-",A2171&amp;"-")-1),"_RGB.png"))),"https://us.pandora.net/on/demandware.static/-/Sites-pandora-master-catalog/default/dwbb259ca6/productimages/singlepackshot/563310C00_RGB.png")</f>
        <v>https://us.pandora.net/on/demandware.static/-/Sites-pandora-master-catalog/default/dwbb259ca6/productimages/singlepackshot/563310C00_RGB.png</v>
      </c>
    </row>
    <row r="2172" spans="1:4" x14ac:dyDescent="0.25">
      <c r="A2172" s="3" t="s">
        <v>2174</v>
      </c>
      <c r="B2172" s="4">
        <v>169</v>
      </c>
      <c r="C2172" s="3" t="str">
        <f ca="1">IFERROR(ROWSDUMMYFUNCTION(IF(A2172="","",IFERROR(IMAGE(CONCATENATE("https://us.pandora.net/on/demandware.static/-/Sites-pandora-master-catalog/default/dwbb259ca6/productimages/singlepackshot/",LEFT(A2172,FIND("-",A2172&amp;"-")-1),"_RGB.png")),""))),"{""url"":""https://us.pandora.net/on/demandware.static/-/Sites-pandora-master-catalog/default/dwbb259ca6/productimages/singlepackshot/563317C00_RGB.png"",""mode"":1}")</f>
        <v>{"url":"https://us.pandora.net/on/demandware.static/-/Sites-pandora-master-catalog/default/dwbb259ca6/productimages/singlepackshot/563317C00_RGB.png","mode":1}</v>
      </c>
      <c r="D2172" s="5" t="str">
        <f ca="1">IFERROR(ROWSDUMMYFUNCTION(IF(A2172="","",CONCATENATE("https://us.pandora.net/on/demandware.static/-/Sites-pandora-master-catalog/default/dwbb259ca6/productimages/singlepackshot/",LEFT(A2172,FIND("-",A2172&amp;"-")-1),"_RGB.png"))),"https://us.pandora.net/on/demandware.static/-/Sites-pandora-master-catalog/default/dwbb259ca6/productimages/singlepackshot/563317C00_RGB.png")</f>
        <v>https://us.pandora.net/on/demandware.static/-/Sites-pandora-master-catalog/default/dwbb259ca6/productimages/singlepackshot/563317C00_RGB.png</v>
      </c>
    </row>
    <row r="2173" spans="1:4" x14ac:dyDescent="0.25">
      <c r="A2173" s="3" t="s">
        <v>2175</v>
      </c>
      <c r="B2173" s="4">
        <v>169</v>
      </c>
      <c r="C2173" s="3" t="str">
        <f ca="1">IFERROR(ROWSDUMMYFUNCTION(IF(A2173="","",IFERROR(IMAGE(CONCATENATE("https://us.pandora.net/on/demandware.static/-/Sites-pandora-master-catalog/default/dwbb259ca6/productimages/singlepackshot/",LEFT(A2173,FIND("-",A2173&amp;"-")-1),"_RGB.png")),""))),"{""url"":""https://us.pandora.net/on/demandware.static/-/Sites-pandora-master-catalog/default/dwbb259ca6/productimages/singlepackshot/563317C00_RGB.png"",""mode"":1}")</f>
        <v>{"url":"https://us.pandora.net/on/demandware.static/-/Sites-pandora-master-catalog/default/dwbb259ca6/productimages/singlepackshot/563317C00_RGB.png","mode":1}</v>
      </c>
      <c r="D2173" s="5" t="str">
        <f ca="1">IFERROR(ROWSDUMMYFUNCTION(IF(A2173="","",CONCATENATE("https://us.pandora.net/on/demandware.static/-/Sites-pandora-master-catalog/default/dwbb259ca6/productimages/singlepackshot/",LEFT(A2173,FIND("-",A2173&amp;"-")-1),"_RGB.png"))),"https://us.pandora.net/on/demandware.static/-/Sites-pandora-master-catalog/default/dwbb259ca6/productimages/singlepackshot/563317C00_RGB.png")</f>
        <v>https://us.pandora.net/on/demandware.static/-/Sites-pandora-master-catalog/default/dwbb259ca6/productimages/singlepackshot/563317C00_RGB.png</v>
      </c>
    </row>
    <row r="2174" spans="1:4" x14ac:dyDescent="0.25">
      <c r="A2174" s="3" t="s">
        <v>2176</v>
      </c>
      <c r="B2174" s="4">
        <v>169</v>
      </c>
      <c r="C2174" s="3" t="str">
        <f ca="1">IFERROR(ROWSDUMMYFUNCTION(IF(A2174="","",IFERROR(IMAGE(CONCATENATE("https://us.pandora.net/on/demandware.static/-/Sites-pandora-master-catalog/default/dwbb259ca6/productimages/singlepackshot/",LEFT(A2174,FIND("-",A2174&amp;"-")-1),"_RGB.png")),""))),"{""url"":""https://us.pandora.net/on/demandware.static/-/Sites-pandora-master-catalog/default/dwbb259ca6/productimages/singlepackshot/563317C00_RGB.png"",""mode"":1}")</f>
        <v>{"url":"https://us.pandora.net/on/demandware.static/-/Sites-pandora-master-catalog/default/dwbb259ca6/productimages/singlepackshot/563317C00_RGB.png","mode":1}</v>
      </c>
      <c r="D2174" s="5" t="str">
        <f ca="1">IFERROR(ROWSDUMMYFUNCTION(IF(A2174="","",CONCATENATE("https://us.pandora.net/on/demandware.static/-/Sites-pandora-master-catalog/default/dwbb259ca6/productimages/singlepackshot/",LEFT(A2174,FIND("-",A2174&amp;"-")-1),"_RGB.png"))),"https://us.pandora.net/on/demandware.static/-/Sites-pandora-master-catalog/default/dwbb259ca6/productimages/singlepackshot/563317C00_RGB.png")</f>
        <v>https://us.pandora.net/on/demandware.static/-/Sites-pandora-master-catalog/default/dwbb259ca6/productimages/singlepackshot/563317C00_RGB.png</v>
      </c>
    </row>
    <row r="2175" spans="1:4" x14ac:dyDescent="0.25">
      <c r="A2175" s="3" t="s">
        <v>2177</v>
      </c>
      <c r="B2175" s="4">
        <v>139</v>
      </c>
      <c r="C2175" s="3" t="str">
        <f ca="1">IFERROR(ROWSDUMMYFUNCTION(IF(A2175="","",IFERROR(IMAGE(CONCATENATE("https://us.pandora.net/on/demandware.static/-/Sites-pandora-master-catalog/default/dwbb259ca6/productimages/singlepackshot/",LEFT(A2175,FIND("-",A2175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75" s="5" t="str">
        <f ca="1">IFERROR(ROWSDUMMYFUNCTION(IF(A2175="","",CONCATENATE("https://us.pandora.net/on/demandware.static/-/Sites-pandora-master-catalog/default/dwbb259ca6/productimages/singlepackshot/",LEFT(A2175,FIND("-",A2175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76" spans="1:4" x14ac:dyDescent="0.25">
      <c r="A2176" s="3" t="s">
        <v>2178</v>
      </c>
      <c r="B2176" s="4">
        <v>139</v>
      </c>
      <c r="C2176" s="3" t="str">
        <f ca="1">IFERROR(ROWSDUMMYFUNCTION(IF(A2176="","",IFERROR(IMAGE(CONCATENATE("https://us.pandora.net/on/demandware.static/-/Sites-pandora-master-catalog/default/dwbb259ca6/productimages/singlepackshot/",LEFT(A2176,FIND("-",A2176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76" s="5" t="str">
        <f ca="1">IFERROR(ROWSDUMMYFUNCTION(IF(A2176="","",CONCATENATE("https://us.pandora.net/on/demandware.static/-/Sites-pandora-master-catalog/default/dwbb259ca6/productimages/singlepackshot/",LEFT(A2176,FIND("-",A2176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77" spans="1:4" x14ac:dyDescent="0.25">
      <c r="A2177" s="3" t="s">
        <v>2179</v>
      </c>
      <c r="B2177" s="4">
        <v>139</v>
      </c>
      <c r="C2177" s="3" t="str">
        <f ca="1">IFERROR(ROWSDUMMYFUNCTION(IF(A2177="","",IFERROR(IMAGE(CONCATENATE("https://us.pandora.net/on/demandware.static/-/Sites-pandora-master-catalog/default/dwbb259ca6/productimages/singlepackshot/",LEFT(A2177,FIND("-",A2177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77" s="5" t="str">
        <f ca="1">IFERROR(ROWSDUMMYFUNCTION(IF(A2177="","",CONCATENATE("https://us.pandora.net/on/demandware.static/-/Sites-pandora-master-catalog/default/dwbb259ca6/productimages/singlepackshot/",LEFT(A2177,FIND("-",A2177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78" spans="1:4" x14ac:dyDescent="0.25">
      <c r="A2178" s="3" t="s">
        <v>2180</v>
      </c>
      <c r="B2178" s="4">
        <v>139</v>
      </c>
      <c r="C2178" s="3" t="str">
        <f ca="1">IFERROR(ROWSDUMMYFUNCTION(IF(A2178="","",IFERROR(IMAGE(CONCATENATE("https://us.pandora.net/on/demandware.static/-/Sites-pandora-master-catalog/default/dwbb259ca6/productimages/singlepackshot/",LEFT(A2178,FIND("-",A2178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78" s="5" t="str">
        <f ca="1">IFERROR(ROWSDUMMYFUNCTION(IF(A2178="","",CONCATENATE("https://us.pandora.net/on/demandware.static/-/Sites-pandora-master-catalog/default/dwbb259ca6/productimages/singlepackshot/",LEFT(A2178,FIND("-",A2178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79" spans="1:4" x14ac:dyDescent="0.25">
      <c r="A2179" s="3" t="s">
        <v>2181</v>
      </c>
      <c r="B2179" s="4">
        <v>139</v>
      </c>
      <c r="C2179" s="3" t="str">
        <f ca="1">IFERROR(ROWSDUMMYFUNCTION(IF(A2179="","",IFERROR(IMAGE(CONCATENATE("https://us.pandora.net/on/demandware.static/-/Sites-pandora-master-catalog/default/dwbb259ca6/productimages/singlepackshot/",LEFT(A2179,FIND("-",A2179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79" s="5" t="str">
        <f ca="1">IFERROR(ROWSDUMMYFUNCTION(IF(A2179="","",CONCATENATE("https://us.pandora.net/on/demandware.static/-/Sites-pandora-master-catalog/default/dwbb259ca6/productimages/singlepackshot/",LEFT(A2179,FIND("-",A2179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80" spans="1:4" x14ac:dyDescent="0.25">
      <c r="A2180" s="3" t="s">
        <v>2182</v>
      </c>
      <c r="B2180" s="4">
        <v>139</v>
      </c>
      <c r="C2180" s="3" t="str">
        <f ca="1">IFERROR(ROWSDUMMYFUNCTION(IF(A2180="","",IFERROR(IMAGE(CONCATENATE("https://us.pandora.net/on/demandware.static/-/Sites-pandora-master-catalog/default/dwbb259ca6/productimages/singlepackshot/",LEFT(A2180,FIND("-",A2180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80" s="5" t="str">
        <f ca="1">IFERROR(ROWSDUMMYFUNCTION(IF(A2180="","",CONCATENATE("https://us.pandora.net/on/demandware.static/-/Sites-pandora-master-catalog/default/dwbb259ca6/productimages/singlepackshot/",LEFT(A2180,FIND("-",A2180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81" spans="1:4" x14ac:dyDescent="0.25">
      <c r="A2181" s="3" t="s">
        <v>2183</v>
      </c>
      <c r="B2181" s="4">
        <v>139</v>
      </c>
      <c r="C2181" s="3" t="str">
        <f ca="1">IFERROR(ROWSDUMMYFUNCTION(IF(A2181="","",IFERROR(IMAGE(CONCATENATE("https://us.pandora.net/on/demandware.static/-/Sites-pandora-master-catalog/default/dwbb259ca6/productimages/singlepackshot/",LEFT(A2181,FIND("-",A2181&amp;"-")-1),"_RGB.png")),""))),"{""url"":""https://us.pandora.net/on/demandware.static/-/Sites-pandora-master-catalog/default/dwbb259ca6/productimages/singlepackshot/563390C00_RGB.png"",""mode"":1}")</f>
        <v>{"url":"https://us.pandora.net/on/demandware.static/-/Sites-pandora-master-catalog/default/dwbb259ca6/productimages/singlepackshot/563390C00_RGB.png","mode":1}</v>
      </c>
      <c r="D2181" s="5" t="str">
        <f ca="1">IFERROR(ROWSDUMMYFUNCTION(IF(A2181="","",CONCATENATE("https://us.pandora.net/on/demandware.static/-/Sites-pandora-master-catalog/default/dwbb259ca6/productimages/singlepackshot/",LEFT(A2181,FIND("-",A2181&amp;"-")-1),"_RGB.png"))),"https://us.pandora.net/on/demandware.static/-/Sites-pandora-master-catalog/default/dwbb259ca6/productimages/singlepackshot/563390C00_RGB.png")</f>
        <v>https://us.pandora.net/on/demandware.static/-/Sites-pandora-master-catalog/default/dwbb259ca6/productimages/singlepackshot/563390C00_RGB.png</v>
      </c>
    </row>
    <row r="2182" spans="1:4" x14ac:dyDescent="0.25">
      <c r="A2182" s="3" t="s">
        <v>2184</v>
      </c>
      <c r="B2182" s="4">
        <v>179</v>
      </c>
      <c r="C2182" s="3" t="str">
        <f ca="1">IFERROR(ROWSDUMMYFUNCTION(IF(A2182="","",IFERROR(IMAGE(CONCATENATE("https://us.pandora.net/on/demandware.static/-/Sites-pandora-master-catalog/default/dwbb259ca6/productimages/singlepackshot/",LEFT(A2182,FIND("-",A2182&amp;"-")-1),"_RGB.png")),""))),"{""url"":""https://us.pandora.net/on/demandware.static/-/Sites-pandora-master-catalog/default/dwbb259ca6/productimages/singlepackshot/563401C01_RGB.png"",""mode"":1}")</f>
        <v>{"url":"https://us.pandora.net/on/demandware.static/-/Sites-pandora-master-catalog/default/dwbb259ca6/productimages/singlepackshot/563401C01_RGB.png","mode":1}</v>
      </c>
      <c r="D2182" s="5" t="str">
        <f ca="1">IFERROR(ROWSDUMMYFUNCTION(IF(A2182="","",CONCATENATE("https://us.pandora.net/on/demandware.static/-/Sites-pandora-master-catalog/default/dwbb259ca6/productimages/singlepackshot/",LEFT(A2182,FIND("-",A2182&amp;"-")-1),"_RGB.png"))),"https://us.pandora.net/on/demandware.static/-/Sites-pandora-master-catalog/default/dwbb259ca6/productimages/singlepackshot/563401C01_RGB.png")</f>
        <v>https://us.pandora.net/on/demandware.static/-/Sites-pandora-master-catalog/default/dwbb259ca6/productimages/singlepackshot/563401C01_RGB.png</v>
      </c>
    </row>
    <row r="2183" spans="1:4" x14ac:dyDescent="0.25">
      <c r="A2183" s="3" t="s">
        <v>2185</v>
      </c>
      <c r="B2183" s="4">
        <v>179</v>
      </c>
      <c r="C2183" s="3" t="str">
        <f ca="1">IFERROR(ROWSDUMMYFUNCTION(IF(A2183="","",IFERROR(IMAGE(CONCATENATE("https://us.pandora.net/on/demandware.static/-/Sites-pandora-master-catalog/default/dwbb259ca6/productimages/singlepackshot/",LEFT(A2183,FIND("-",A2183&amp;"-")-1),"_RGB.png")),""))),"{""url"":""https://us.pandora.net/on/demandware.static/-/Sites-pandora-master-catalog/default/dwbb259ca6/productimages/singlepackshot/563401C01_RGB.png"",""mode"":1}")</f>
        <v>{"url":"https://us.pandora.net/on/demandware.static/-/Sites-pandora-master-catalog/default/dwbb259ca6/productimages/singlepackshot/563401C01_RGB.png","mode":1}</v>
      </c>
      <c r="D2183" s="5" t="str">
        <f ca="1">IFERROR(ROWSDUMMYFUNCTION(IF(A2183="","",CONCATENATE("https://us.pandora.net/on/demandware.static/-/Sites-pandora-master-catalog/default/dwbb259ca6/productimages/singlepackshot/",LEFT(A2183,FIND("-",A2183&amp;"-")-1),"_RGB.png"))),"https://us.pandora.net/on/demandware.static/-/Sites-pandora-master-catalog/default/dwbb259ca6/productimages/singlepackshot/563401C01_RGB.png")</f>
        <v>https://us.pandora.net/on/demandware.static/-/Sites-pandora-master-catalog/default/dwbb259ca6/productimages/singlepackshot/563401C01_RGB.png</v>
      </c>
    </row>
    <row r="2184" spans="1:4" x14ac:dyDescent="0.25">
      <c r="A2184" s="3" t="s">
        <v>2186</v>
      </c>
      <c r="B2184" s="4">
        <v>179</v>
      </c>
      <c r="C2184" s="3" t="str">
        <f ca="1">IFERROR(ROWSDUMMYFUNCTION(IF(A2184="","",IFERROR(IMAGE(CONCATENATE("https://us.pandora.net/on/demandware.static/-/Sites-pandora-master-catalog/default/dwbb259ca6/productimages/singlepackshot/",LEFT(A2184,FIND("-",A2184&amp;"-")-1),"_RGB.png")),""))),"{""url"":""https://us.pandora.net/on/demandware.static/-/Sites-pandora-master-catalog/default/dwbb259ca6/productimages/singlepackshot/563401C01_RGB.png"",""mode"":1}")</f>
        <v>{"url":"https://us.pandora.net/on/demandware.static/-/Sites-pandora-master-catalog/default/dwbb259ca6/productimages/singlepackshot/563401C01_RGB.png","mode":1}</v>
      </c>
      <c r="D2184" s="5" t="str">
        <f ca="1">IFERROR(ROWSDUMMYFUNCTION(IF(A2184="","",CONCATENATE("https://us.pandora.net/on/demandware.static/-/Sites-pandora-master-catalog/default/dwbb259ca6/productimages/singlepackshot/",LEFT(A2184,FIND("-",A2184&amp;"-")-1),"_RGB.png"))),"https://us.pandora.net/on/demandware.static/-/Sites-pandora-master-catalog/default/dwbb259ca6/productimages/singlepackshot/563401C01_RGB.png")</f>
        <v>https://us.pandora.net/on/demandware.static/-/Sites-pandora-master-catalog/default/dwbb259ca6/productimages/singlepackshot/563401C01_RGB.png</v>
      </c>
    </row>
    <row r="2185" spans="1:4" x14ac:dyDescent="0.25">
      <c r="A2185" s="3" t="s">
        <v>2187</v>
      </c>
      <c r="B2185" s="4">
        <v>179</v>
      </c>
      <c r="C2185" s="3" t="str">
        <f ca="1">IFERROR(ROWSDUMMYFUNCTION(IF(A2185="","",IFERROR(IMAGE(CONCATENATE("https://us.pandora.net/on/demandware.static/-/Sites-pandora-master-catalog/default/dwbb259ca6/productimages/singlepackshot/",LEFT(A2185,FIND("-",A2185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85" s="5" t="str">
        <f ca="1">IFERROR(ROWSDUMMYFUNCTION(IF(A2185="","",CONCATENATE("https://us.pandora.net/on/demandware.static/-/Sites-pandora-master-catalog/default/dwbb259ca6/productimages/singlepackshot/",LEFT(A2185,FIND("-",A2185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86" spans="1:4" x14ac:dyDescent="0.25">
      <c r="A2186" s="3" t="s">
        <v>2188</v>
      </c>
      <c r="B2186" s="4">
        <v>179</v>
      </c>
      <c r="C2186" s="3" t="str">
        <f ca="1">IFERROR(ROWSDUMMYFUNCTION(IF(A2186="","",IFERROR(IMAGE(CONCATENATE("https://us.pandora.net/on/demandware.static/-/Sites-pandora-master-catalog/default/dwbb259ca6/productimages/singlepackshot/",LEFT(A2186,FIND("-",A2186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86" s="5" t="str">
        <f ca="1">IFERROR(ROWSDUMMYFUNCTION(IF(A2186="","",CONCATENATE("https://us.pandora.net/on/demandware.static/-/Sites-pandora-master-catalog/default/dwbb259ca6/productimages/singlepackshot/",LEFT(A2186,FIND("-",A2186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87" spans="1:4" x14ac:dyDescent="0.25">
      <c r="A2187" s="3" t="s">
        <v>2189</v>
      </c>
      <c r="B2187" s="4">
        <v>179</v>
      </c>
      <c r="C2187" s="3" t="str">
        <f ca="1">IFERROR(ROWSDUMMYFUNCTION(IF(A2187="","",IFERROR(IMAGE(CONCATENATE("https://us.pandora.net/on/demandware.static/-/Sites-pandora-master-catalog/default/dwbb259ca6/productimages/singlepackshot/",LEFT(A2187,FIND("-",A2187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87" s="5" t="str">
        <f ca="1">IFERROR(ROWSDUMMYFUNCTION(IF(A2187="","",CONCATENATE("https://us.pandora.net/on/demandware.static/-/Sites-pandora-master-catalog/default/dwbb259ca6/productimages/singlepackshot/",LEFT(A2187,FIND("-",A2187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88" spans="1:4" x14ac:dyDescent="0.25">
      <c r="A2188" s="3" t="s">
        <v>2190</v>
      </c>
      <c r="B2188" s="4">
        <v>179</v>
      </c>
      <c r="C2188" s="3" t="str">
        <f ca="1">IFERROR(ROWSDUMMYFUNCTION(IF(A2188="","",IFERROR(IMAGE(CONCATENATE("https://us.pandora.net/on/demandware.static/-/Sites-pandora-master-catalog/default/dwbb259ca6/productimages/singlepackshot/",LEFT(A2188,FIND("-",A2188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88" s="5" t="str">
        <f ca="1">IFERROR(ROWSDUMMYFUNCTION(IF(A2188="","",CONCATENATE("https://us.pandora.net/on/demandware.static/-/Sites-pandora-master-catalog/default/dwbb259ca6/productimages/singlepackshot/",LEFT(A2188,FIND("-",A2188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89" spans="1:4" x14ac:dyDescent="0.25">
      <c r="A2189" s="3" t="s">
        <v>2191</v>
      </c>
      <c r="B2189" s="4">
        <v>179</v>
      </c>
      <c r="C2189" s="3" t="str">
        <f ca="1">IFERROR(ROWSDUMMYFUNCTION(IF(A2189="","",IFERROR(IMAGE(CONCATENATE("https://us.pandora.net/on/demandware.static/-/Sites-pandora-master-catalog/default/dwbb259ca6/productimages/singlepackshot/",LEFT(A2189,FIND("-",A2189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89" s="5" t="str">
        <f ca="1">IFERROR(ROWSDUMMYFUNCTION(IF(A2189="","",CONCATENATE("https://us.pandora.net/on/demandware.static/-/Sites-pandora-master-catalog/default/dwbb259ca6/productimages/singlepackshot/",LEFT(A2189,FIND("-",A2189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90" spans="1:4" x14ac:dyDescent="0.25">
      <c r="A2190" s="3" t="s">
        <v>2192</v>
      </c>
      <c r="B2190" s="4">
        <v>179</v>
      </c>
      <c r="C2190" s="3" t="str">
        <f ca="1">IFERROR(ROWSDUMMYFUNCTION(IF(A2190="","",IFERROR(IMAGE(CONCATENATE("https://us.pandora.net/on/demandware.static/-/Sites-pandora-master-catalog/default/dwbb259ca6/productimages/singlepackshot/",LEFT(A2190,FIND("-",A2190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90" s="5" t="str">
        <f ca="1">IFERROR(ROWSDUMMYFUNCTION(IF(A2190="","",CONCATENATE("https://us.pandora.net/on/demandware.static/-/Sites-pandora-master-catalog/default/dwbb259ca6/productimages/singlepackshot/",LEFT(A2190,FIND("-",A2190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91" spans="1:4" x14ac:dyDescent="0.25">
      <c r="A2191" s="3" t="s">
        <v>2193</v>
      </c>
      <c r="B2191" s="4">
        <v>179</v>
      </c>
      <c r="C2191" s="3" t="str">
        <f ca="1">IFERROR(ROWSDUMMYFUNCTION(IF(A2191="","",IFERROR(IMAGE(CONCATENATE("https://us.pandora.net/on/demandware.static/-/Sites-pandora-master-catalog/default/dwbb259ca6/productimages/singlepackshot/",LEFT(A2191,FIND("-",A2191&amp;"-")-1),"_RGB.png")),""))),"{""url"":""https://us.pandora.net/on/demandware.static/-/Sites-pandora-master-catalog/default/dwbb259ca6/productimages/singlepackshot/563516C01_RGB.png"",""mode"":1}")</f>
        <v>{"url":"https://us.pandora.net/on/demandware.static/-/Sites-pandora-master-catalog/default/dwbb259ca6/productimages/singlepackshot/563516C01_RGB.png","mode":1}</v>
      </c>
      <c r="D2191" s="5" t="str">
        <f ca="1">IFERROR(ROWSDUMMYFUNCTION(IF(A2191="","",CONCATENATE("https://us.pandora.net/on/demandware.static/-/Sites-pandora-master-catalog/default/dwbb259ca6/productimages/singlepackshot/",LEFT(A2191,FIND("-",A2191&amp;"-")-1),"_RGB.png"))),"https://us.pandora.net/on/demandware.static/-/Sites-pandora-master-catalog/default/dwbb259ca6/productimages/singlepackshot/563516C01_RGB.png")</f>
        <v>https://us.pandora.net/on/demandware.static/-/Sites-pandora-master-catalog/default/dwbb259ca6/productimages/singlepackshot/563516C01_RGB.png</v>
      </c>
    </row>
    <row r="2192" spans="1:4" x14ac:dyDescent="0.25">
      <c r="A2192" s="3" t="s">
        <v>2194</v>
      </c>
      <c r="B2192" s="4">
        <v>179</v>
      </c>
      <c r="C2192" s="3" t="str">
        <f ca="1">IFERROR(ROWSDUMMYFUNCTION(IF(A2192="","",IFERROR(IMAGE(CONCATENATE("https://us.pandora.net/on/demandware.static/-/Sites-pandora-master-catalog/default/dwbb259ca6/productimages/singlepackshot/",LEFT(A2192,FIND("-",A2192&amp;"-")-1),"_RGB.png")),""))),"{""url"":""https://us.pandora.net/on/demandware.static/-/Sites-pandora-master-catalog/default/dwbb259ca6/productimages/singlepackshot/563539C01_RGB.png"",""mode"":1}")</f>
        <v>{"url":"https://us.pandora.net/on/demandware.static/-/Sites-pandora-master-catalog/default/dwbb259ca6/productimages/singlepackshot/563539C01_RGB.png","mode":1}</v>
      </c>
      <c r="D2192" s="5" t="str">
        <f ca="1">IFERROR(ROWSDUMMYFUNCTION(IF(A2192="","",CONCATENATE("https://us.pandora.net/on/demandware.static/-/Sites-pandora-master-catalog/default/dwbb259ca6/productimages/singlepackshot/",LEFT(A2192,FIND("-",A2192&amp;"-")-1),"_RGB.png"))),"https://us.pandora.net/on/demandware.static/-/Sites-pandora-master-catalog/default/dwbb259ca6/productimages/singlepackshot/563539C01_RGB.png")</f>
        <v>https://us.pandora.net/on/demandware.static/-/Sites-pandora-master-catalog/default/dwbb259ca6/productimages/singlepackshot/563539C01_RGB.png</v>
      </c>
    </row>
    <row r="2193" spans="1:4" x14ac:dyDescent="0.25">
      <c r="A2193" s="3" t="s">
        <v>2195</v>
      </c>
      <c r="B2193" s="4">
        <v>179</v>
      </c>
      <c r="C2193" s="3" t="str">
        <f ca="1">IFERROR(ROWSDUMMYFUNCTION(IF(A2193="","",IFERROR(IMAGE(CONCATENATE("https://us.pandora.net/on/demandware.static/-/Sites-pandora-master-catalog/default/dwbb259ca6/productimages/singlepackshot/",LEFT(A2193,FIND("-",A2193&amp;"-")-1),"_RGB.png")),""))),"{""url"":""https://us.pandora.net/on/demandware.static/-/Sites-pandora-master-catalog/default/dwbb259ca6/productimages/singlepackshot/563539C01_RGB.png"",""mode"":1}")</f>
        <v>{"url":"https://us.pandora.net/on/demandware.static/-/Sites-pandora-master-catalog/default/dwbb259ca6/productimages/singlepackshot/563539C01_RGB.png","mode":1}</v>
      </c>
      <c r="D2193" s="5" t="str">
        <f ca="1">IFERROR(ROWSDUMMYFUNCTION(IF(A2193="","",CONCATENATE("https://us.pandora.net/on/demandware.static/-/Sites-pandora-master-catalog/default/dwbb259ca6/productimages/singlepackshot/",LEFT(A2193,FIND("-",A2193&amp;"-")-1),"_RGB.png"))),"https://us.pandora.net/on/demandware.static/-/Sites-pandora-master-catalog/default/dwbb259ca6/productimages/singlepackshot/563539C01_RGB.png")</f>
        <v>https://us.pandora.net/on/demandware.static/-/Sites-pandora-master-catalog/default/dwbb259ca6/productimages/singlepackshot/563539C01_RGB.png</v>
      </c>
    </row>
    <row r="2194" spans="1:4" x14ac:dyDescent="0.25">
      <c r="A2194" s="3" t="s">
        <v>2196</v>
      </c>
      <c r="B2194" s="4">
        <v>179</v>
      </c>
      <c r="C2194" s="3" t="str">
        <f ca="1">IFERROR(ROWSDUMMYFUNCTION(IF(A2194="","",IFERROR(IMAGE(CONCATENATE("https://us.pandora.net/on/demandware.static/-/Sites-pandora-master-catalog/default/dwbb259ca6/productimages/singlepackshot/",LEFT(A2194,FIND("-",A2194&amp;"-")-1),"_RGB.png")),""))),"{""url"":""https://us.pandora.net/on/demandware.static/-/Sites-pandora-master-catalog/default/dwbb259ca6/productimages/singlepackshot/563539C01_RGB.png"",""mode"":1}")</f>
        <v>{"url":"https://us.pandora.net/on/demandware.static/-/Sites-pandora-master-catalog/default/dwbb259ca6/productimages/singlepackshot/563539C01_RGB.png","mode":1}</v>
      </c>
      <c r="D2194" s="5" t="str">
        <f ca="1">IFERROR(ROWSDUMMYFUNCTION(IF(A2194="","",CONCATENATE("https://us.pandora.net/on/demandware.static/-/Sites-pandora-master-catalog/default/dwbb259ca6/productimages/singlepackshot/",LEFT(A2194,FIND("-",A2194&amp;"-")-1),"_RGB.png"))),"https://us.pandora.net/on/demandware.static/-/Sites-pandora-master-catalog/default/dwbb259ca6/productimages/singlepackshot/563539C01_RGB.png")</f>
        <v>https://us.pandora.net/on/demandware.static/-/Sites-pandora-master-catalog/default/dwbb259ca6/productimages/singlepackshot/563539C01_RGB.png</v>
      </c>
    </row>
    <row r="2195" spans="1:4" x14ac:dyDescent="0.25">
      <c r="A2195" s="3" t="s">
        <v>2197</v>
      </c>
      <c r="B2195" s="4">
        <v>169</v>
      </c>
      <c r="C2195" s="3" t="str">
        <f ca="1">IFERROR(ROWSDUMMYFUNCTION(IF(A2195="","",IFERROR(IMAGE(CONCATENATE("https://us.pandora.net/on/demandware.static/-/Sites-pandora-master-catalog/default/dwbb259ca6/productimages/singlepackshot/",LEFT(A2195,FIND("-",A2195&amp;"-")-1),"_RGB.png")),""))),"{""url"":""https://us.pandora.net/on/demandware.static/-/Sites-pandora-master-catalog/default/dwbb259ca6/productimages/singlepackshot/563580C01_RGB.png"",""mode"":1}")</f>
        <v>{"url":"https://us.pandora.net/on/demandware.static/-/Sites-pandora-master-catalog/default/dwbb259ca6/productimages/singlepackshot/563580C01_RGB.png","mode":1}</v>
      </c>
      <c r="D2195" s="5" t="str">
        <f ca="1">IFERROR(ROWSDUMMYFUNCTION(IF(A2195="","",CONCATENATE("https://us.pandora.net/on/demandware.static/-/Sites-pandora-master-catalog/default/dwbb259ca6/productimages/singlepackshot/",LEFT(A2195,FIND("-",A2195&amp;"-")-1),"_RGB.png"))),"https://us.pandora.net/on/demandware.static/-/Sites-pandora-master-catalog/default/dwbb259ca6/productimages/singlepackshot/563580C01_RGB.png")</f>
        <v>https://us.pandora.net/on/demandware.static/-/Sites-pandora-master-catalog/default/dwbb259ca6/productimages/singlepackshot/563580C01_RGB.png</v>
      </c>
    </row>
    <row r="2196" spans="1:4" x14ac:dyDescent="0.25">
      <c r="A2196" s="3" t="s">
        <v>2198</v>
      </c>
      <c r="B2196" s="4">
        <v>99</v>
      </c>
      <c r="C2196" s="3" t="str">
        <f ca="1">IFERROR(ROWSDUMMYFUNCTION(IF(A2196="","",IFERROR(IMAGE(CONCATENATE("https://us.pandora.net/on/demandware.static/-/Sites-pandora-master-catalog/default/dwbb259ca6/productimages/singlepackshot/",LEFT(A2196,FIND("-",A2196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196" s="5" t="str">
        <f ca="1">IFERROR(ROWSDUMMYFUNCTION(IF(A2196="","",CONCATENATE("https://us.pandora.net/on/demandware.static/-/Sites-pandora-master-catalog/default/dwbb259ca6/productimages/singlepackshot/",LEFT(A2196,FIND("-",A2196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197" spans="1:4" x14ac:dyDescent="0.25">
      <c r="A2197" s="3" t="s">
        <v>2199</v>
      </c>
      <c r="B2197" s="4">
        <v>99</v>
      </c>
      <c r="C2197" s="3" t="str">
        <f ca="1">IFERROR(ROWSDUMMYFUNCTION(IF(A2197="","",IFERROR(IMAGE(CONCATENATE("https://us.pandora.net/on/demandware.static/-/Sites-pandora-master-catalog/default/dwbb259ca6/productimages/singlepackshot/",LEFT(A2197,FIND("-",A2197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197" s="5" t="str">
        <f ca="1">IFERROR(ROWSDUMMYFUNCTION(IF(A2197="","",CONCATENATE("https://us.pandora.net/on/demandware.static/-/Sites-pandora-master-catalog/default/dwbb259ca6/productimages/singlepackshot/",LEFT(A2197,FIND("-",A2197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198" spans="1:4" x14ac:dyDescent="0.25">
      <c r="A2198" s="3" t="s">
        <v>2200</v>
      </c>
      <c r="B2198" s="4">
        <v>99</v>
      </c>
      <c r="C2198" s="3" t="str">
        <f ca="1">IFERROR(ROWSDUMMYFUNCTION(IF(A2198="","",IFERROR(IMAGE(CONCATENATE("https://us.pandora.net/on/demandware.static/-/Sites-pandora-master-catalog/default/dwbb259ca6/productimages/singlepackshot/",LEFT(A2198,FIND("-",A2198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198" s="5" t="str">
        <f ca="1">IFERROR(ROWSDUMMYFUNCTION(IF(A2198="","",CONCATENATE("https://us.pandora.net/on/demandware.static/-/Sites-pandora-master-catalog/default/dwbb259ca6/productimages/singlepackshot/",LEFT(A2198,FIND("-",A2198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199" spans="1:4" x14ac:dyDescent="0.25">
      <c r="A2199" s="3" t="s">
        <v>2201</v>
      </c>
      <c r="B2199" s="4">
        <v>99</v>
      </c>
      <c r="C2199" s="3" t="str">
        <f ca="1">IFERROR(ROWSDUMMYFUNCTION(IF(A2199="","",IFERROR(IMAGE(CONCATENATE("https://us.pandora.net/on/demandware.static/-/Sites-pandora-master-catalog/default/dwbb259ca6/productimages/singlepackshot/",LEFT(A2199,FIND("-",A2199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199" s="5" t="str">
        <f ca="1">IFERROR(ROWSDUMMYFUNCTION(IF(A2199="","",CONCATENATE("https://us.pandora.net/on/demandware.static/-/Sites-pandora-master-catalog/default/dwbb259ca6/productimages/singlepackshot/",LEFT(A2199,FIND("-",A2199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200" spans="1:4" x14ac:dyDescent="0.25">
      <c r="A2200" s="3" t="s">
        <v>2202</v>
      </c>
      <c r="B2200" s="4">
        <v>99</v>
      </c>
      <c r="C2200" s="3" t="str">
        <f ca="1">IFERROR(ROWSDUMMYFUNCTION(IF(A2200="","",IFERROR(IMAGE(CONCATENATE("https://us.pandora.net/on/demandware.static/-/Sites-pandora-master-catalog/default/dwbb259ca6/productimages/singlepackshot/",LEFT(A2200,FIND("-",A2200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200" s="5" t="str">
        <f ca="1">IFERROR(ROWSDUMMYFUNCTION(IF(A2200="","",CONCATENATE("https://us.pandora.net/on/demandware.static/-/Sites-pandora-master-catalog/default/dwbb259ca6/productimages/singlepackshot/",LEFT(A2200,FIND("-",A2200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201" spans="1:4" x14ac:dyDescent="0.25">
      <c r="A2201" s="3" t="s">
        <v>2203</v>
      </c>
      <c r="B2201" s="4">
        <v>99</v>
      </c>
      <c r="C2201" s="3" t="str">
        <f ca="1">IFERROR(ROWSDUMMYFUNCTION(IF(A2201="","",IFERROR(IMAGE(CONCATENATE("https://us.pandora.net/on/demandware.static/-/Sites-pandora-master-catalog/default/dwbb259ca6/productimages/singlepackshot/",LEFT(A2201,FIND("-",A2201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201" s="5" t="str">
        <f ca="1">IFERROR(ROWSDUMMYFUNCTION(IF(A2201="","",CONCATENATE("https://us.pandora.net/on/demandware.static/-/Sites-pandora-master-catalog/default/dwbb259ca6/productimages/singlepackshot/",LEFT(A2201,FIND("-",A2201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202" spans="1:4" x14ac:dyDescent="0.25">
      <c r="A2202" s="3" t="s">
        <v>2204</v>
      </c>
      <c r="B2202" s="4">
        <v>99</v>
      </c>
      <c r="C2202" s="3" t="str">
        <f ca="1">IFERROR(ROWSDUMMYFUNCTION(IF(A2202="","",IFERROR(IMAGE(CONCATENATE("https://us.pandora.net/on/demandware.static/-/Sites-pandora-master-catalog/default/dwbb259ca6/productimages/singlepackshot/",LEFT(A2202,FIND("-",A2202&amp;"-")-1),"_RGB.png")),""))),"{""url"":""https://us.pandora.net/on/demandware.static/-/Sites-pandora-master-catalog/default/dwbb259ca6/productimages/singlepackshot/563683C01_RGB.png"",""mode"":1}")</f>
        <v>{"url":"https://us.pandora.net/on/demandware.static/-/Sites-pandora-master-catalog/default/dwbb259ca6/productimages/singlepackshot/563683C01_RGB.png","mode":1}</v>
      </c>
      <c r="D2202" s="5" t="str">
        <f ca="1">IFERROR(ROWSDUMMYFUNCTION(IF(A2202="","",CONCATENATE("https://us.pandora.net/on/demandware.static/-/Sites-pandora-master-catalog/default/dwbb259ca6/productimages/singlepackshot/",LEFT(A2202,FIND("-",A2202&amp;"-")-1),"_RGB.png"))),"https://us.pandora.net/on/demandware.static/-/Sites-pandora-master-catalog/default/dwbb259ca6/productimages/singlepackshot/563683C01_RGB.png")</f>
        <v>https://us.pandora.net/on/demandware.static/-/Sites-pandora-master-catalog/default/dwbb259ca6/productimages/singlepackshot/563683C01_RGB.png</v>
      </c>
    </row>
    <row r="2203" spans="1:4" x14ac:dyDescent="0.25">
      <c r="A2203" s="3" t="s">
        <v>2205</v>
      </c>
      <c r="B2203" s="4">
        <v>119</v>
      </c>
      <c r="C2203" s="3" t="str">
        <f ca="1">IFERROR(ROWSDUMMYFUNCTION(IF(A2203="","",IFERROR(IMAGE(CONCATENATE("https://us.pandora.net/on/demandware.static/-/Sites-pandora-master-catalog/default/dwbb259ca6/productimages/singlepackshot/",LEFT(A2203,FIND("-",A2203&amp;"-")-1),"_RGB.png")),""))),"{""url"":""https://us.pandora.net/on/demandware.static/-/Sites-pandora-master-catalog/default/dwbb259ca6/productimages/singlepackshot/563689C00_RGB.png"",""mode"":1}")</f>
        <v>{"url":"https://us.pandora.net/on/demandware.static/-/Sites-pandora-master-catalog/default/dwbb259ca6/productimages/singlepackshot/563689C00_RGB.png","mode":1}</v>
      </c>
      <c r="D2203" s="5" t="str">
        <f ca="1">IFERROR(ROWSDUMMYFUNCTION(IF(A2203="","",CONCATENATE("https://us.pandora.net/on/demandware.static/-/Sites-pandora-master-catalog/default/dwbb259ca6/productimages/singlepackshot/",LEFT(A2203,FIND("-",A2203&amp;"-")-1),"_RGB.png"))),"https://us.pandora.net/on/demandware.static/-/Sites-pandora-master-catalog/default/dwbb259ca6/productimages/singlepackshot/563689C00_RGB.png")</f>
        <v>https://us.pandora.net/on/demandware.static/-/Sites-pandora-master-catalog/default/dwbb259ca6/productimages/singlepackshot/563689C00_RGB.png</v>
      </c>
    </row>
    <row r="2204" spans="1:4" x14ac:dyDescent="0.25">
      <c r="A2204" s="3" t="s">
        <v>2206</v>
      </c>
      <c r="B2204" s="4">
        <v>119</v>
      </c>
      <c r="C2204" s="3" t="str">
        <f ca="1">IFERROR(ROWSDUMMYFUNCTION(IF(A2204="","",IFERROR(IMAGE(CONCATENATE("https://us.pandora.net/on/demandware.static/-/Sites-pandora-master-catalog/default/dwbb259ca6/productimages/singlepackshot/",LEFT(A2204,FIND("-",A2204&amp;"-")-1),"_RGB.png")),""))),"{""url"":""https://us.pandora.net/on/demandware.static/-/Sites-pandora-master-catalog/default/dwbb259ca6/productimages/singlepackshot/563689C00_RGB.png"",""mode"":1}")</f>
        <v>{"url":"https://us.pandora.net/on/demandware.static/-/Sites-pandora-master-catalog/default/dwbb259ca6/productimages/singlepackshot/563689C00_RGB.png","mode":1}</v>
      </c>
      <c r="D2204" s="5" t="str">
        <f ca="1">IFERROR(ROWSDUMMYFUNCTION(IF(A2204="","",CONCATENATE("https://us.pandora.net/on/demandware.static/-/Sites-pandora-master-catalog/default/dwbb259ca6/productimages/singlepackshot/",LEFT(A2204,FIND("-",A2204&amp;"-")-1),"_RGB.png"))),"https://us.pandora.net/on/demandware.static/-/Sites-pandora-master-catalog/default/dwbb259ca6/productimages/singlepackshot/563689C00_RGB.png")</f>
        <v>https://us.pandora.net/on/demandware.static/-/Sites-pandora-master-catalog/default/dwbb259ca6/productimages/singlepackshot/563689C00_RGB.png</v>
      </c>
    </row>
    <row r="2205" spans="1:4" x14ac:dyDescent="0.25">
      <c r="A2205" s="3" t="s">
        <v>2207</v>
      </c>
      <c r="B2205" s="4">
        <v>119</v>
      </c>
      <c r="C2205" s="3" t="str">
        <f ca="1">IFERROR(ROWSDUMMYFUNCTION(IF(A2205="","",IFERROR(IMAGE(CONCATENATE("https://us.pandora.net/on/demandware.static/-/Sites-pandora-master-catalog/default/dwbb259ca6/productimages/singlepackshot/",LEFT(A2205,FIND("-",A2205&amp;"-")-1),"_RGB.png")),""))),"{""url"":""https://us.pandora.net/on/demandware.static/-/Sites-pandora-master-catalog/default/dwbb259ca6/productimages/singlepackshot/563689C00_RGB.png"",""mode"":1}")</f>
        <v>{"url":"https://us.pandora.net/on/demandware.static/-/Sites-pandora-master-catalog/default/dwbb259ca6/productimages/singlepackshot/563689C00_RGB.png","mode":1}</v>
      </c>
      <c r="D2205" s="5" t="str">
        <f ca="1">IFERROR(ROWSDUMMYFUNCTION(IF(A2205="","",CONCATENATE("https://us.pandora.net/on/demandware.static/-/Sites-pandora-master-catalog/default/dwbb259ca6/productimages/singlepackshot/",LEFT(A2205,FIND("-",A2205&amp;"-")-1),"_RGB.png"))),"https://us.pandora.net/on/demandware.static/-/Sites-pandora-master-catalog/default/dwbb259ca6/productimages/singlepackshot/563689C00_RGB.png")</f>
        <v>https://us.pandora.net/on/demandware.static/-/Sites-pandora-master-catalog/default/dwbb259ca6/productimages/singlepackshot/563689C00_RGB.png</v>
      </c>
    </row>
    <row r="2206" spans="1:4" x14ac:dyDescent="0.25">
      <c r="A2206" s="3" t="s">
        <v>2208</v>
      </c>
      <c r="B2206" s="4">
        <v>119</v>
      </c>
      <c r="C2206" s="3" t="str">
        <f ca="1">IFERROR(ROWSDUMMYFUNCTION(IF(A2206="","",IFERROR(IMAGE(CONCATENATE("https://us.pandora.net/on/demandware.static/-/Sites-pandora-master-catalog/default/dwbb259ca6/productimages/singlepackshot/",LEFT(A2206,FIND("-",A2206&amp;"-")-1),"_RGB.png")),""))),"{""url"":""https://us.pandora.net/on/demandware.static/-/Sites-pandora-master-catalog/default/dwbb259ca6/productimages/singlepackshot/563689C00_RGB.png"",""mode"":1}")</f>
        <v>{"url":"https://us.pandora.net/on/demandware.static/-/Sites-pandora-master-catalog/default/dwbb259ca6/productimages/singlepackshot/563689C00_RGB.png","mode":1}</v>
      </c>
      <c r="D2206" s="5" t="str">
        <f ca="1">IFERROR(ROWSDUMMYFUNCTION(IF(A2206="","",CONCATENATE("https://us.pandora.net/on/demandware.static/-/Sites-pandora-master-catalog/default/dwbb259ca6/productimages/singlepackshot/",LEFT(A2206,FIND("-",A2206&amp;"-")-1),"_RGB.png"))),"https://us.pandora.net/on/demandware.static/-/Sites-pandora-master-catalog/default/dwbb259ca6/productimages/singlepackshot/563689C00_RGB.png")</f>
        <v>https://us.pandora.net/on/demandware.static/-/Sites-pandora-master-catalog/default/dwbb259ca6/productimages/singlepackshot/563689C00_RGB.png</v>
      </c>
    </row>
    <row r="2207" spans="1:4" x14ac:dyDescent="0.25">
      <c r="A2207" s="3" t="s">
        <v>2209</v>
      </c>
      <c r="B2207" s="4">
        <v>119</v>
      </c>
      <c r="C2207" s="3" t="str">
        <f ca="1">IFERROR(ROWSDUMMYFUNCTION(IF(A2207="","",IFERROR(IMAGE(CONCATENATE("https://us.pandora.net/on/demandware.static/-/Sites-pandora-master-catalog/default/dwbb259ca6/productimages/singlepackshot/",LEFT(A2207,FIND("-",A2207&amp;"-")-1),"_RGB.png")),""))),"{""url"":""https://us.pandora.net/on/demandware.static/-/Sites-pandora-master-catalog/default/dwbb259ca6/productimages/singlepackshot/563689C00_RGB.png"",""mode"":1}")</f>
        <v>{"url":"https://us.pandora.net/on/demandware.static/-/Sites-pandora-master-catalog/default/dwbb259ca6/productimages/singlepackshot/563689C00_RGB.png","mode":1}</v>
      </c>
      <c r="D2207" s="5" t="str">
        <f ca="1">IFERROR(ROWSDUMMYFUNCTION(IF(A2207="","",CONCATENATE("https://us.pandora.net/on/demandware.static/-/Sites-pandora-master-catalog/default/dwbb259ca6/productimages/singlepackshot/",LEFT(A2207,FIND("-",A2207&amp;"-")-1),"_RGB.png"))),"https://us.pandora.net/on/demandware.static/-/Sites-pandora-master-catalog/default/dwbb259ca6/productimages/singlepackshot/563689C00_RGB.png")</f>
        <v>https://us.pandora.net/on/demandware.static/-/Sites-pandora-master-catalog/default/dwbb259ca6/productimages/singlepackshot/563689C00_RGB.png</v>
      </c>
    </row>
    <row r="2208" spans="1:4" x14ac:dyDescent="0.25">
      <c r="A2208" s="3" t="s">
        <v>2210</v>
      </c>
      <c r="B2208" s="4">
        <v>179</v>
      </c>
      <c r="C2208" s="3" t="str">
        <f ca="1">IFERROR(ROWSDUMMYFUNCTION(IF(A2208="","",IFERROR(IMAGE(CONCATENATE("https://us.pandora.net/on/demandware.static/-/Sites-pandora-master-catalog/default/dwbb259ca6/productimages/singlepackshot/",LEFT(A2208,FIND("-",A2208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08" s="5" t="str">
        <f ca="1">IFERROR(ROWSDUMMYFUNCTION(IF(A2208="","",CONCATENATE("https://us.pandora.net/on/demandware.static/-/Sites-pandora-master-catalog/default/dwbb259ca6/productimages/singlepackshot/",LEFT(A2208,FIND("-",A2208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09" spans="1:4" x14ac:dyDescent="0.25">
      <c r="A2209" s="3" t="s">
        <v>2211</v>
      </c>
      <c r="B2209" s="4">
        <v>179</v>
      </c>
      <c r="C2209" s="3" t="str">
        <f ca="1">IFERROR(ROWSDUMMYFUNCTION(IF(A2209="","",IFERROR(IMAGE(CONCATENATE("https://us.pandora.net/on/demandware.static/-/Sites-pandora-master-catalog/default/dwbb259ca6/productimages/singlepackshot/",LEFT(A2209,FIND("-",A2209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09" s="5" t="str">
        <f ca="1">IFERROR(ROWSDUMMYFUNCTION(IF(A2209="","",CONCATENATE("https://us.pandora.net/on/demandware.static/-/Sites-pandora-master-catalog/default/dwbb259ca6/productimages/singlepackshot/",LEFT(A2209,FIND("-",A2209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10" spans="1:4" x14ac:dyDescent="0.25">
      <c r="A2210" s="3" t="s">
        <v>2212</v>
      </c>
      <c r="B2210" s="4">
        <v>179</v>
      </c>
      <c r="C2210" s="3" t="str">
        <f ca="1">IFERROR(ROWSDUMMYFUNCTION(IF(A2210="","",IFERROR(IMAGE(CONCATENATE("https://us.pandora.net/on/demandware.static/-/Sites-pandora-master-catalog/default/dwbb259ca6/productimages/singlepackshot/",LEFT(A2210,FIND("-",A2210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10" s="5" t="str">
        <f ca="1">IFERROR(ROWSDUMMYFUNCTION(IF(A2210="","",CONCATENATE("https://us.pandora.net/on/demandware.static/-/Sites-pandora-master-catalog/default/dwbb259ca6/productimages/singlepackshot/",LEFT(A2210,FIND("-",A2210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11" spans="1:4" x14ac:dyDescent="0.25">
      <c r="A2211" s="3" t="s">
        <v>2213</v>
      </c>
      <c r="B2211" s="4">
        <v>179</v>
      </c>
      <c r="C2211" s="3" t="str">
        <f ca="1">IFERROR(ROWSDUMMYFUNCTION(IF(A2211="","",IFERROR(IMAGE(CONCATENATE("https://us.pandora.net/on/demandware.static/-/Sites-pandora-master-catalog/default/dwbb259ca6/productimages/singlepackshot/",LEFT(A2211,FIND("-",A2211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11" s="5" t="str">
        <f ca="1">IFERROR(ROWSDUMMYFUNCTION(IF(A2211="","",CONCATENATE("https://us.pandora.net/on/demandware.static/-/Sites-pandora-master-catalog/default/dwbb259ca6/productimages/singlepackshot/",LEFT(A2211,FIND("-",A2211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12" spans="1:4" x14ac:dyDescent="0.25">
      <c r="A2212" s="3" t="s">
        <v>2214</v>
      </c>
      <c r="B2212" s="4">
        <v>179</v>
      </c>
      <c r="C2212" s="3" t="str">
        <f ca="1">IFERROR(ROWSDUMMYFUNCTION(IF(A2212="","",IFERROR(IMAGE(CONCATENATE("https://us.pandora.net/on/demandware.static/-/Sites-pandora-master-catalog/default/dwbb259ca6/productimages/singlepackshot/",LEFT(A2212,FIND("-",A2212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12" s="5" t="str">
        <f ca="1">IFERROR(ROWSDUMMYFUNCTION(IF(A2212="","",CONCATENATE("https://us.pandora.net/on/demandware.static/-/Sites-pandora-master-catalog/default/dwbb259ca6/productimages/singlepackshot/",LEFT(A2212,FIND("-",A2212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13" spans="1:4" x14ac:dyDescent="0.25">
      <c r="A2213" s="3" t="s">
        <v>2215</v>
      </c>
      <c r="B2213" s="4">
        <v>179</v>
      </c>
      <c r="C2213" s="3" t="str">
        <f ca="1">IFERROR(ROWSDUMMYFUNCTION(IF(A2213="","",IFERROR(IMAGE(CONCATENATE("https://us.pandora.net/on/demandware.static/-/Sites-pandora-master-catalog/default/dwbb259ca6/productimages/singlepackshot/",LEFT(A2213,FIND("-",A2213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13" s="5" t="str">
        <f ca="1">IFERROR(ROWSDUMMYFUNCTION(IF(A2213="","",CONCATENATE("https://us.pandora.net/on/demandware.static/-/Sites-pandora-master-catalog/default/dwbb259ca6/productimages/singlepackshot/",LEFT(A2213,FIND("-",A2213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14" spans="1:4" x14ac:dyDescent="0.25">
      <c r="A2214" s="3" t="s">
        <v>2216</v>
      </c>
      <c r="B2214" s="4">
        <v>179</v>
      </c>
      <c r="C2214" s="3" t="str">
        <f ca="1">IFERROR(ROWSDUMMYFUNCTION(IF(A2214="","",IFERROR(IMAGE(CONCATENATE("https://us.pandora.net/on/demandware.static/-/Sites-pandora-master-catalog/default/dwbb259ca6/productimages/singlepackshot/",LEFT(A2214,FIND("-",A2214&amp;"-")-1),"_RGB.png")),""))),"{""url"":""https://us.pandora.net/on/demandware.static/-/Sites-pandora-master-catalog/default/dwbb259ca6/productimages/singlepackshot/563758C01_RGB.png"",""mode"":1}")</f>
        <v>{"url":"https://us.pandora.net/on/demandware.static/-/Sites-pandora-master-catalog/default/dwbb259ca6/productimages/singlepackshot/563758C01_RGB.png","mode":1}</v>
      </c>
      <c r="D2214" s="5" t="str">
        <f ca="1">IFERROR(ROWSDUMMYFUNCTION(IF(A2214="","",CONCATENATE("https://us.pandora.net/on/demandware.static/-/Sites-pandora-master-catalog/default/dwbb259ca6/productimages/singlepackshot/",LEFT(A2214,FIND("-",A2214&amp;"-")-1),"_RGB.png"))),"https://us.pandora.net/on/demandware.static/-/Sites-pandora-master-catalog/default/dwbb259ca6/productimages/singlepackshot/563758C01_RGB.png")</f>
        <v>https://us.pandora.net/on/demandware.static/-/Sites-pandora-master-catalog/default/dwbb259ca6/productimages/singlepackshot/563758C01_RGB.png</v>
      </c>
    </row>
    <row r="2215" spans="1:4" x14ac:dyDescent="0.25">
      <c r="A2215" s="3" t="s">
        <v>2217</v>
      </c>
      <c r="B2215" s="4">
        <v>199</v>
      </c>
      <c r="C2215" s="3" t="str">
        <f ca="1">IFERROR(ROWSDUMMYFUNCTION(IF(A2215="","",IFERROR(IMAGE(CONCATENATE("https://us.pandora.net/on/demandware.static/-/Sites-pandora-master-catalog/default/dwbb259ca6/productimages/singlepackshot/",LEFT(A2215,FIND("-",A2215&amp;"-")-1),"_RGB.png")),""))),"{""url"":""https://us.pandora.net/on/demandware.static/-/Sites-pandora-master-catalog/default/dwbb259ca6/productimages/singlepackshot/563808C00_RGB.png"",""mode"":1}")</f>
        <v>{"url":"https://us.pandora.net/on/demandware.static/-/Sites-pandora-master-catalog/default/dwbb259ca6/productimages/singlepackshot/563808C00_RGB.png","mode":1}</v>
      </c>
      <c r="D2215" s="5" t="str">
        <f ca="1">IFERROR(ROWSDUMMYFUNCTION(IF(A2215="","",CONCATENATE("https://us.pandora.net/on/demandware.static/-/Sites-pandora-master-catalog/default/dwbb259ca6/productimages/singlepackshot/",LEFT(A2215,FIND("-",A2215&amp;"-")-1),"_RGB.png"))),"https://us.pandora.net/on/demandware.static/-/Sites-pandora-master-catalog/default/dwbb259ca6/productimages/singlepackshot/563808C00_RGB.png")</f>
        <v>https://us.pandora.net/on/demandware.static/-/Sites-pandora-master-catalog/default/dwbb259ca6/productimages/singlepackshot/563808C00_RGB.png</v>
      </c>
    </row>
    <row r="2216" spans="1:4" x14ac:dyDescent="0.25">
      <c r="A2216" s="3" t="s">
        <v>2218</v>
      </c>
      <c r="B2216" s="4">
        <v>199</v>
      </c>
      <c r="C2216" s="3" t="str">
        <f ca="1">IFERROR(ROWSDUMMYFUNCTION(IF(A2216="","",IFERROR(IMAGE(CONCATENATE("https://us.pandora.net/on/demandware.static/-/Sites-pandora-master-catalog/default/dwbb259ca6/productimages/singlepackshot/",LEFT(A2216,FIND("-",A2216&amp;"-")-1),"_RGB.png")),""))),"{""url"":""https://us.pandora.net/on/demandware.static/-/Sites-pandora-master-catalog/default/dwbb259ca6/productimages/singlepackshot/563808C00_RGB.png"",""mode"":1}")</f>
        <v>{"url":"https://us.pandora.net/on/demandware.static/-/Sites-pandora-master-catalog/default/dwbb259ca6/productimages/singlepackshot/563808C00_RGB.png","mode":1}</v>
      </c>
      <c r="D2216" s="5" t="str">
        <f ca="1">IFERROR(ROWSDUMMYFUNCTION(IF(A2216="","",CONCATENATE("https://us.pandora.net/on/demandware.static/-/Sites-pandora-master-catalog/default/dwbb259ca6/productimages/singlepackshot/",LEFT(A2216,FIND("-",A2216&amp;"-")-1),"_RGB.png"))),"https://us.pandora.net/on/demandware.static/-/Sites-pandora-master-catalog/default/dwbb259ca6/productimages/singlepackshot/563808C00_RGB.png")</f>
        <v>https://us.pandora.net/on/demandware.static/-/Sites-pandora-master-catalog/default/dwbb259ca6/productimages/singlepackshot/563808C00_RGB.png</v>
      </c>
    </row>
    <row r="2217" spans="1:4" x14ac:dyDescent="0.25">
      <c r="A2217" s="3" t="s">
        <v>2219</v>
      </c>
      <c r="B2217" s="4">
        <v>199</v>
      </c>
      <c r="C2217" s="3" t="str">
        <f ca="1">IFERROR(ROWSDUMMYFUNCTION(IF(A2217="","",IFERROR(IMAGE(CONCATENATE("https://us.pandora.net/on/demandware.static/-/Sites-pandora-master-catalog/default/dwbb259ca6/productimages/singlepackshot/",LEFT(A2217,FIND("-",A2217&amp;"-")-1),"_RGB.png")),""))),"{""url"":""https://us.pandora.net/on/demandware.static/-/Sites-pandora-master-catalog/default/dwbb259ca6/productimages/singlepackshot/563808C00_RGB.png"",""mode"":1}")</f>
        <v>{"url":"https://us.pandora.net/on/demandware.static/-/Sites-pandora-master-catalog/default/dwbb259ca6/productimages/singlepackshot/563808C00_RGB.png","mode":1}</v>
      </c>
      <c r="D2217" s="5" t="str">
        <f ca="1">IFERROR(ROWSDUMMYFUNCTION(IF(A2217="","",CONCATENATE("https://us.pandora.net/on/demandware.static/-/Sites-pandora-master-catalog/default/dwbb259ca6/productimages/singlepackshot/",LEFT(A2217,FIND("-",A2217&amp;"-")-1),"_RGB.png"))),"https://us.pandora.net/on/demandware.static/-/Sites-pandora-master-catalog/default/dwbb259ca6/productimages/singlepackshot/563808C00_RGB.png")</f>
        <v>https://us.pandora.net/on/demandware.static/-/Sites-pandora-master-catalog/default/dwbb259ca6/productimages/singlepackshot/563808C00_RGB.png</v>
      </c>
    </row>
    <row r="2218" spans="1:4" x14ac:dyDescent="0.25">
      <c r="A2218" s="3" t="s">
        <v>2220</v>
      </c>
      <c r="B2218" s="4">
        <v>169</v>
      </c>
      <c r="C2218" s="3" t="str">
        <f ca="1">IFERROR(ROWSDUMMYFUNCTION(IF(A2218="","",IFERROR(IMAGE(CONCATENATE("https://us.pandora.net/on/demandware.static/-/Sites-pandora-master-catalog/default/dwbb259ca6/productimages/singlepackshot/",LEFT(A2218,FIND("-",A2218&amp;"-")-1),"_RGB.png")),""))),"{""url"":""https://us.pandora.net/on/demandware.static/-/Sites-pandora-master-catalog/default/dwbb259ca6/productimages/singlepackshot/563811C00_RGB.png"",""mode"":1}")</f>
        <v>{"url":"https://us.pandora.net/on/demandware.static/-/Sites-pandora-master-catalog/default/dwbb259ca6/productimages/singlepackshot/563811C00_RGB.png","mode":1}</v>
      </c>
      <c r="D2218" s="5" t="str">
        <f ca="1">IFERROR(ROWSDUMMYFUNCTION(IF(A2218="","",CONCATENATE("https://us.pandora.net/on/demandware.static/-/Sites-pandora-master-catalog/default/dwbb259ca6/productimages/singlepackshot/",LEFT(A2218,FIND("-",A2218&amp;"-")-1),"_RGB.png"))),"https://us.pandora.net/on/demandware.static/-/Sites-pandora-master-catalog/default/dwbb259ca6/productimages/singlepackshot/563811C00_RGB.png")</f>
        <v>https://us.pandora.net/on/demandware.static/-/Sites-pandora-master-catalog/default/dwbb259ca6/productimages/singlepackshot/563811C00_RGB.png</v>
      </c>
    </row>
    <row r="2219" spans="1:4" x14ac:dyDescent="0.25">
      <c r="A2219" s="3" t="s">
        <v>2221</v>
      </c>
      <c r="B2219" s="4">
        <v>169</v>
      </c>
      <c r="C2219" s="3" t="str">
        <f ca="1">IFERROR(ROWSDUMMYFUNCTION(IF(A2219="","",IFERROR(IMAGE(CONCATENATE("https://us.pandora.net/on/demandware.static/-/Sites-pandora-master-catalog/default/dwbb259ca6/productimages/singlepackshot/",LEFT(A2219,FIND("-",A2219&amp;"-")-1),"_RGB.png")),""))),"{""url"":""https://us.pandora.net/on/demandware.static/-/Sites-pandora-master-catalog/default/dwbb259ca6/productimages/singlepackshot/563811C00_RGB.png"",""mode"":1}")</f>
        <v>{"url":"https://us.pandora.net/on/demandware.static/-/Sites-pandora-master-catalog/default/dwbb259ca6/productimages/singlepackshot/563811C00_RGB.png","mode":1}</v>
      </c>
      <c r="D2219" s="5" t="str">
        <f ca="1">IFERROR(ROWSDUMMYFUNCTION(IF(A2219="","",CONCATENATE("https://us.pandora.net/on/demandware.static/-/Sites-pandora-master-catalog/default/dwbb259ca6/productimages/singlepackshot/",LEFT(A2219,FIND("-",A2219&amp;"-")-1),"_RGB.png"))),"https://us.pandora.net/on/demandware.static/-/Sites-pandora-master-catalog/default/dwbb259ca6/productimages/singlepackshot/563811C00_RGB.png")</f>
        <v>https://us.pandora.net/on/demandware.static/-/Sites-pandora-master-catalog/default/dwbb259ca6/productimages/singlepackshot/563811C00_RGB.png</v>
      </c>
    </row>
    <row r="2220" spans="1:4" x14ac:dyDescent="0.25">
      <c r="A2220" s="3" t="s">
        <v>2222</v>
      </c>
      <c r="B2220" s="4">
        <v>169</v>
      </c>
      <c r="C2220" s="3" t="str">
        <f ca="1">IFERROR(ROWSDUMMYFUNCTION(IF(A2220="","",IFERROR(IMAGE(CONCATENATE("https://us.pandora.net/on/demandware.static/-/Sites-pandora-master-catalog/default/dwbb259ca6/productimages/singlepackshot/",LEFT(A2220,FIND("-",A2220&amp;"-")-1),"_RGB.png")),""))),"{""url"":""https://us.pandora.net/on/demandware.static/-/Sites-pandora-master-catalog/default/dwbb259ca6/productimages/singlepackshot/563811C00_RGB.png"",""mode"":1}")</f>
        <v>{"url":"https://us.pandora.net/on/demandware.static/-/Sites-pandora-master-catalog/default/dwbb259ca6/productimages/singlepackshot/563811C00_RGB.png","mode":1}</v>
      </c>
      <c r="D2220" s="5" t="str">
        <f ca="1">IFERROR(ROWSDUMMYFUNCTION(IF(A2220="","",CONCATENATE("https://us.pandora.net/on/demandware.static/-/Sites-pandora-master-catalog/default/dwbb259ca6/productimages/singlepackshot/",LEFT(A2220,FIND("-",A2220&amp;"-")-1),"_RGB.png"))),"https://us.pandora.net/on/demandware.static/-/Sites-pandora-master-catalog/default/dwbb259ca6/productimages/singlepackshot/563811C00_RGB.png")</f>
        <v>https://us.pandora.net/on/demandware.static/-/Sites-pandora-master-catalog/default/dwbb259ca6/productimages/singlepackshot/563811C00_RGB.png</v>
      </c>
    </row>
    <row r="2221" spans="1:4" x14ac:dyDescent="0.25">
      <c r="A2221" s="3" t="s">
        <v>2223</v>
      </c>
      <c r="B2221" s="4">
        <v>169</v>
      </c>
      <c r="C2221" s="3" t="str">
        <f ca="1">IFERROR(ROWSDUMMYFUNCTION(IF(A2221="","",IFERROR(IMAGE(CONCATENATE("https://us.pandora.net/on/demandware.static/-/Sites-pandora-master-catalog/default/dwbb259ca6/productimages/singlepackshot/",LEFT(A2221,FIND("-",A2221&amp;"-")-1),"_RGB.png")),""))),"{""url"":""https://us.pandora.net/on/demandware.static/-/Sites-pandora-master-catalog/default/dwbb259ca6/productimages/singlepackshot/563811C00_RGB.png"",""mode"":1}")</f>
        <v>{"url":"https://us.pandora.net/on/demandware.static/-/Sites-pandora-master-catalog/default/dwbb259ca6/productimages/singlepackshot/563811C00_RGB.png","mode":1}</v>
      </c>
      <c r="D2221" s="5" t="str">
        <f ca="1">IFERROR(ROWSDUMMYFUNCTION(IF(A2221="","",CONCATENATE("https://us.pandora.net/on/demandware.static/-/Sites-pandora-master-catalog/default/dwbb259ca6/productimages/singlepackshot/",LEFT(A2221,FIND("-",A2221&amp;"-")-1),"_RGB.png"))),"https://us.pandora.net/on/demandware.static/-/Sites-pandora-master-catalog/default/dwbb259ca6/productimages/singlepackshot/563811C00_RGB.png")</f>
        <v>https://us.pandora.net/on/demandware.static/-/Sites-pandora-master-catalog/default/dwbb259ca6/productimages/singlepackshot/563811C00_RGB.png</v>
      </c>
    </row>
    <row r="2222" spans="1:4" x14ac:dyDescent="0.25">
      <c r="A2222" s="3" t="s">
        <v>2224</v>
      </c>
      <c r="B2222" s="4">
        <v>169</v>
      </c>
      <c r="C2222" s="3" t="str">
        <f ca="1">IFERROR(ROWSDUMMYFUNCTION(IF(A2222="","",IFERROR(IMAGE(CONCATENATE("https://us.pandora.net/on/demandware.static/-/Sites-pandora-master-catalog/default/dwbb259ca6/productimages/singlepackshot/",LEFT(A2222,FIND("-",A2222&amp;"-")-1),"_RGB.png")),""))),"{""url"":""https://us.pandora.net/on/demandware.static/-/Sites-pandora-master-catalog/default/dwbb259ca6/productimages/singlepackshot/563811C00_RGB.png"",""mode"":1}")</f>
        <v>{"url":"https://us.pandora.net/on/demandware.static/-/Sites-pandora-master-catalog/default/dwbb259ca6/productimages/singlepackshot/563811C00_RGB.png","mode":1}</v>
      </c>
      <c r="D2222" s="5" t="str">
        <f ca="1">IFERROR(ROWSDUMMYFUNCTION(IF(A2222="","",CONCATENATE("https://us.pandora.net/on/demandware.static/-/Sites-pandora-master-catalog/default/dwbb259ca6/productimages/singlepackshot/",LEFT(A2222,FIND("-",A2222&amp;"-")-1),"_RGB.png"))),"https://us.pandora.net/on/demandware.static/-/Sites-pandora-master-catalog/default/dwbb259ca6/productimages/singlepackshot/563811C00_RGB.png")</f>
        <v>https://us.pandora.net/on/demandware.static/-/Sites-pandora-master-catalog/default/dwbb259ca6/productimages/singlepackshot/563811C00_RGB.png</v>
      </c>
    </row>
    <row r="2223" spans="1:4" x14ac:dyDescent="0.25">
      <c r="A2223" s="3" t="s">
        <v>2225</v>
      </c>
      <c r="B2223" s="4">
        <v>169</v>
      </c>
      <c r="C2223" s="3" t="str">
        <f ca="1">IFERROR(ROWSDUMMYFUNCTION(IF(A2223="","",IFERROR(IMAGE(CONCATENATE("https://us.pandora.net/on/demandware.static/-/Sites-pandora-master-catalog/default/dwbb259ca6/productimages/singlepackshot/",LEFT(A2223,FIND("-",A2223&amp;"-")-1),"_RGB.png")),""))),"{""url"":""https://us.pandora.net/on/demandware.static/-/Sites-pandora-master-catalog/default/dwbb259ca6/productimages/singlepackshot/563811C00_RGB.png"",""mode"":1}")</f>
        <v>{"url":"https://us.pandora.net/on/demandware.static/-/Sites-pandora-master-catalog/default/dwbb259ca6/productimages/singlepackshot/563811C00_RGB.png","mode":1}</v>
      </c>
      <c r="D2223" s="5" t="str">
        <f ca="1">IFERROR(ROWSDUMMYFUNCTION(IF(A2223="","",CONCATENATE("https://us.pandora.net/on/demandware.static/-/Sites-pandora-master-catalog/default/dwbb259ca6/productimages/singlepackshot/",LEFT(A2223,FIND("-",A2223&amp;"-")-1),"_RGB.png"))),"https://us.pandora.net/on/demandware.static/-/Sites-pandora-master-catalog/default/dwbb259ca6/productimages/singlepackshot/563811C00_RGB.png")</f>
        <v>https://us.pandora.net/on/demandware.static/-/Sites-pandora-master-catalog/default/dwbb259ca6/productimages/singlepackshot/563811C00_RGB.png</v>
      </c>
    </row>
    <row r="2224" spans="1:4" x14ac:dyDescent="0.25">
      <c r="A2224" s="3" t="s">
        <v>2226</v>
      </c>
      <c r="B2224" s="4">
        <v>179</v>
      </c>
      <c r="C2224" s="3" t="str">
        <f ca="1">IFERROR(ROWSDUMMYFUNCTION(IF(A2224="","",IFERROR(IMAGE(CONCATENATE("https://us.pandora.net/on/demandware.static/-/Sites-pandora-master-catalog/default/dwbb259ca6/productimages/singlepackshot/",LEFT(A2224,FIND("-",A2224&amp;"-")-1),"_RGB.png")),""))),"{""url"":""https://us.pandora.net/on/demandware.static/-/Sites-pandora-master-catalog/default/dwbb259ca6/productimages/singlepackshot/563829C00_RGB.png"",""mode"":1}")</f>
        <v>{"url":"https://us.pandora.net/on/demandware.static/-/Sites-pandora-master-catalog/default/dwbb259ca6/productimages/singlepackshot/563829C00_RGB.png","mode":1}</v>
      </c>
      <c r="D2224" s="5" t="str">
        <f ca="1">IFERROR(ROWSDUMMYFUNCTION(IF(A2224="","",CONCATENATE("https://us.pandora.net/on/demandware.static/-/Sites-pandora-master-catalog/default/dwbb259ca6/productimages/singlepackshot/",LEFT(A2224,FIND("-",A2224&amp;"-")-1),"_RGB.png"))),"https://us.pandora.net/on/demandware.static/-/Sites-pandora-master-catalog/default/dwbb259ca6/productimages/singlepackshot/563829C00_RGB.png")</f>
        <v>https://us.pandora.net/on/demandware.static/-/Sites-pandora-master-catalog/default/dwbb259ca6/productimages/singlepackshot/563829C00_RGB.png</v>
      </c>
    </row>
    <row r="2225" spans="1:4" x14ac:dyDescent="0.25">
      <c r="A2225" s="3" t="s">
        <v>2227</v>
      </c>
      <c r="B2225" s="4">
        <v>179</v>
      </c>
      <c r="C2225" s="3" t="str">
        <f ca="1">IFERROR(ROWSDUMMYFUNCTION(IF(A2225="","",IFERROR(IMAGE(CONCATENATE("https://us.pandora.net/on/demandware.static/-/Sites-pandora-master-catalog/default/dwbb259ca6/productimages/singlepackshot/",LEFT(A2225,FIND("-",A2225&amp;"-")-1),"_RGB.png")),""))),"{""url"":""https://us.pandora.net/on/demandware.static/-/Sites-pandora-master-catalog/default/dwbb259ca6/productimages/singlepackshot/563829C00_RGB.png"",""mode"":1}")</f>
        <v>{"url":"https://us.pandora.net/on/demandware.static/-/Sites-pandora-master-catalog/default/dwbb259ca6/productimages/singlepackshot/563829C00_RGB.png","mode":1}</v>
      </c>
      <c r="D2225" s="5" t="str">
        <f ca="1">IFERROR(ROWSDUMMYFUNCTION(IF(A2225="","",CONCATENATE("https://us.pandora.net/on/demandware.static/-/Sites-pandora-master-catalog/default/dwbb259ca6/productimages/singlepackshot/",LEFT(A2225,FIND("-",A2225&amp;"-")-1),"_RGB.png"))),"https://us.pandora.net/on/demandware.static/-/Sites-pandora-master-catalog/default/dwbb259ca6/productimages/singlepackshot/563829C00_RGB.png")</f>
        <v>https://us.pandora.net/on/demandware.static/-/Sites-pandora-master-catalog/default/dwbb259ca6/productimages/singlepackshot/563829C00_RGB.png</v>
      </c>
    </row>
    <row r="2226" spans="1:4" x14ac:dyDescent="0.25">
      <c r="A2226" s="3" t="s">
        <v>2228</v>
      </c>
      <c r="B2226" s="4">
        <v>179</v>
      </c>
      <c r="C2226" s="3" t="str">
        <f ca="1">IFERROR(ROWSDUMMYFUNCTION(IF(A2226="","",IFERROR(IMAGE(CONCATENATE("https://us.pandora.net/on/demandware.static/-/Sites-pandora-master-catalog/default/dwbb259ca6/productimages/singlepackshot/",LEFT(A2226,FIND("-",A2226&amp;"-")-1),"_RGB.png")),""))),"{""url"":""https://us.pandora.net/on/demandware.static/-/Sites-pandora-master-catalog/default/dwbb259ca6/productimages/singlepackshot/563829C00_RGB.png"",""mode"":1}")</f>
        <v>{"url":"https://us.pandora.net/on/demandware.static/-/Sites-pandora-master-catalog/default/dwbb259ca6/productimages/singlepackshot/563829C00_RGB.png","mode":1}</v>
      </c>
      <c r="D2226" s="5" t="str">
        <f ca="1">IFERROR(ROWSDUMMYFUNCTION(IF(A2226="","",CONCATENATE("https://us.pandora.net/on/demandware.static/-/Sites-pandora-master-catalog/default/dwbb259ca6/productimages/singlepackshot/",LEFT(A2226,FIND("-",A2226&amp;"-")-1),"_RGB.png"))),"https://us.pandora.net/on/demandware.static/-/Sites-pandora-master-catalog/default/dwbb259ca6/productimages/singlepackshot/563829C00_RGB.png")</f>
        <v>https://us.pandora.net/on/demandware.static/-/Sites-pandora-master-catalog/default/dwbb259ca6/productimages/singlepackshot/563829C00_RGB.png</v>
      </c>
    </row>
    <row r="2227" spans="1:4" x14ac:dyDescent="0.25">
      <c r="A2227" s="3" t="s">
        <v>2229</v>
      </c>
      <c r="B2227" s="4">
        <v>179</v>
      </c>
      <c r="C2227" s="3" t="str">
        <f ca="1">IFERROR(ROWSDUMMYFUNCTION(IF(A2227="","",IFERROR(IMAGE(CONCATENATE("https://us.pandora.net/on/demandware.static/-/Sites-pandora-master-catalog/default/dwbb259ca6/productimages/singlepackshot/",LEFT(A2227,FIND("-",A2227&amp;"-")-1),"_RGB.png")),""))),"{""url"":""https://us.pandora.net/on/demandware.static/-/Sites-pandora-master-catalog/default/dwbb259ca6/productimages/singlepackshot/563829C00_RGB.png"",""mode"":1}")</f>
        <v>{"url":"https://us.pandora.net/on/demandware.static/-/Sites-pandora-master-catalog/default/dwbb259ca6/productimages/singlepackshot/563829C00_RGB.png","mode":1}</v>
      </c>
      <c r="D2227" s="5" t="str">
        <f ca="1">IFERROR(ROWSDUMMYFUNCTION(IF(A2227="","",CONCATENATE("https://us.pandora.net/on/demandware.static/-/Sites-pandora-master-catalog/default/dwbb259ca6/productimages/singlepackshot/",LEFT(A2227,FIND("-",A2227&amp;"-")-1),"_RGB.png"))),"https://us.pandora.net/on/demandware.static/-/Sites-pandora-master-catalog/default/dwbb259ca6/productimages/singlepackshot/563829C00_RGB.png")</f>
        <v>https://us.pandora.net/on/demandware.static/-/Sites-pandora-master-catalog/default/dwbb259ca6/productimages/singlepackshot/563829C00_RGB.png</v>
      </c>
    </row>
    <row r="2228" spans="1:4" x14ac:dyDescent="0.25">
      <c r="A2228" s="3" t="s">
        <v>2230</v>
      </c>
      <c r="B2228" s="4">
        <v>179</v>
      </c>
      <c r="C2228" s="3" t="str">
        <f ca="1">IFERROR(ROWSDUMMYFUNCTION(IF(A2228="","",IFERROR(IMAGE(CONCATENATE("https://us.pandora.net/on/demandware.static/-/Sites-pandora-master-catalog/default/dwbb259ca6/productimages/singlepackshot/",LEFT(A2228,FIND("-",A2228&amp;"-")-1),"_RGB.png")),""))),"{""url"":""https://us.pandora.net/on/demandware.static/-/Sites-pandora-master-catalog/default/dwbb259ca6/productimages/singlepackshot/563829C00_RGB.png"",""mode"":1}")</f>
        <v>{"url":"https://us.pandora.net/on/demandware.static/-/Sites-pandora-master-catalog/default/dwbb259ca6/productimages/singlepackshot/563829C00_RGB.png","mode":1}</v>
      </c>
      <c r="D2228" s="5" t="str">
        <f ca="1">IFERROR(ROWSDUMMYFUNCTION(IF(A2228="","",CONCATENATE("https://us.pandora.net/on/demandware.static/-/Sites-pandora-master-catalog/default/dwbb259ca6/productimages/singlepackshot/",LEFT(A2228,FIND("-",A2228&amp;"-")-1),"_RGB.png"))),"https://us.pandora.net/on/demandware.static/-/Sites-pandora-master-catalog/default/dwbb259ca6/productimages/singlepackshot/563829C00_RGB.png")</f>
        <v>https://us.pandora.net/on/demandware.static/-/Sites-pandora-master-catalog/default/dwbb259ca6/productimages/singlepackshot/563829C00_RGB.png</v>
      </c>
    </row>
    <row r="2229" spans="1:4" x14ac:dyDescent="0.25">
      <c r="A2229" s="3" t="s">
        <v>2231</v>
      </c>
      <c r="B2229" s="4">
        <v>119</v>
      </c>
      <c r="C2229" s="3" t="str">
        <f ca="1">IFERROR(ROWSDUMMYFUNCTION(IF(A2229="","",IFERROR(IMAGE(CONCATENATE("https://us.pandora.net/on/demandware.static/-/Sites-pandora-master-catalog/default/dwbb259ca6/productimages/singlepackshot/",LEFT(A2229,FIND("-",A2229&amp;"-")-1),"_RGB.png")),""))),"{""url"":""https://us.pandora.net/on/demandware.static/-/Sites-pandora-master-catalog/default/dwbb259ca6/productimages/singlepackshot/563830C01_RGB.png"",""mode"":1}")</f>
        <v>{"url":"https://us.pandora.net/on/demandware.static/-/Sites-pandora-master-catalog/default/dwbb259ca6/productimages/singlepackshot/563830C01_RGB.png","mode":1}</v>
      </c>
      <c r="D2229" s="5" t="str">
        <f ca="1">IFERROR(ROWSDUMMYFUNCTION(IF(A2229="","",CONCATENATE("https://us.pandora.net/on/demandware.static/-/Sites-pandora-master-catalog/default/dwbb259ca6/productimages/singlepackshot/",LEFT(A2229,FIND("-",A2229&amp;"-")-1),"_RGB.png"))),"https://us.pandora.net/on/demandware.static/-/Sites-pandora-master-catalog/default/dwbb259ca6/productimages/singlepackshot/563830C01_RGB.png")</f>
        <v>https://us.pandora.net/on/demandware.static/-/Sites-pandora-master-catalog/default/dwbb259ca6/productimages/singlepackshot/563830C01_RGB.png</v>
      </c>
    </row>
    <row r="2230" spans="1:4" x14ac:dyDescent="0.25">
      <c r="A2230" s="3" t="s">
        <v>2232</v>
      </c>
      <c r="B2230" s="4">
        <v>119</v>
      </c>
      <c r="C2230" s="3" t="str">
        <f ca="1">IFERROR(ROWSDUMMYFUNCTION(IF(A2230="","",IFERROR(IMAGE(CONCATENATE("https://us.pandora.net/on/demandware.static/-/Sites-pandora-master-catalog/default/dwbb259ca6/productimages/singlepackshot/",LEFT(A2230,FIND("-",A2230&amp;"-")-1),"_RGB.png")),""))),"{""url"":""https://us.pandora.net/on/demandware.static/-/Sites-pandora-master-catalog/default/dwbb259ca6/productimages/singlepackshot/563830C01_RGB.png"",""mode"":1}")</f>
        <v>{"url":"https://us.pandora.net/on/demandware.static/-/Sites-pandora-master-catalog/default/dwbb259ca6/productimages/singlepackshot/563830C01_RGB.png","mode":1}</v>
      </c>
      <c r="D2230" s="5" t="str">
        <f ca="1">IFERROR(ROWSDUMMYFUNCTION(IF(A2230="","",CONCATENATE("https://us.pandora.net/on/demandware.static/-/Sites-pandora-master-catalog/default/dwbb259ca6/productimages/singlepackshot/",LEFT(A2230,FIND("-",A2230&amp;"-")-1),"_RGB.png"))),"https://us.pandora.net/on/demandware.static/-/Sites-pandora-master-catalog/default/dwbb259ca6/productimages/singlepackshot/563830C01_RGB.png")</f>
        <v>https://us.pandora.net/on/demandware.static/-/Sites-pandora-master-catalog/default/dwbb259ca6/productimages/singlepackshot/563830C01_RGB.png</v>
      </c>
    </row>
    <row r="2231" spans="1:4" x14ac:dyDescent="0.25">
      <c r="A2231" s="3" t="s">
        <v>2233</v>
      </c>
      <c r="B2231" s="4">
        <v>119</v>
      </c>
      <c r="C2231" s="3" t="str">
        <f ca="1">IFERROR(ROWSDUMMYFUNCTION(IF(A2231="","",IFERROR(IMAGE(CONCATENATE("https://us.pandora.net/on/demandware.static/-/Sites-pandora-master-catalog/default/dwbb259ca6/productimages/singlepackshot/",LEFT(A2231,FIND("-",A2231&amp;"-")-1),"_RGB.png")),""))),"{""url"":""https://us.pandora.net/on/demandware.static/-/Sites-pandora-master-catalog/default/dwbb259ca6/productimages/singlepackshot/563830C01_RGB.png"",""mode"":1}")</f>
        <v>{"url":"https://us.pandora.net/on/demandware.static/-/Sites-pandora-master-catalog/default/dwbb259ca6/productimages/singlepackshot/563830C01_RGB.png","mode":1}</v>
      </c>
      <c r="D2231" s="5" t="str">
        <f ca="1">IFERROR(ROWSDUMMYFUNCTION(IF(A2231="","",CONCATENATE("https://us.pandora.net/on/demandware.static/-/Sites-pandora-master-catalog/default/dwbb259ca6/productimages/singlepackshot/",LEFT(A2231,FIND("-",A2231&amp;"-")-1),"_RGB.png"))),"https://us.pandora.net/on/demandware.static/-/Sites-pandora-master-catalog/default/dwbb259ca6/productimages/singlepackshot/563830C01_RGB.png")</f>
        <v>https://us.pandora.net/on/demandware.static/-/Sites-pandora-master-catalog/default/dwbb259ca6/productimages/singlepackshot/563830C01_RGB.png</v>
      </c>
    </row>
    <row r="2232" spans="1:4" x14ac:dyDescent="0.25">
      <c r="A2232" s="3" t="s">
        <v>2234</v>
      </c>
      <c r="B2232" s="4">
        <v>179</v>
      </c>
      <c r="C2232" s="3" t="str">
        <f ca="1">IFERROR(ROWSDUMMYFUNCTION(IF(A2232="","",IFERROR(IMAGE(CONCATENATE("https://us.pandora.net/on/demandware.static/-/Sites-pandora-master-catalog/default/dwbb259ca6/productimages/singlepackshot/",LEFT(A2232,FIND("-",A2232&amp;"-")-1),"_RGB.png")),""))),"{""url"":""https://us.pandora.net/on/demandware.static/-/Sites-pandora-master-catalog/default/dwbb259ca6/productimages/singlepackshot/563864C00_RGB.png"",""mode"":1}")</f>
        <v>{"url":"https://us.pandora.net/on/demandware.static/-/Sites-pandora-master-catalog/default/dwbb259ca6/productimages/singlepackshot/563864C00_RGB.png","mode":1}</v>
      </c>
      <c r="D2232" s="5" t="str">
        <f ca="1">IFERROR(ROWSDUMMYFUNCTION(IF(A2232="","",CONCATENATE("https://us.pandora.net/on/demandware.static/-/Sites-pandora-master-catalog/default/dwbb259ca6/productimages/singlepackshot/",LEFT(A2232,FIND("-",A2232&amp;"-")-1),"_RGB.png"))),"https://us.pandora.net/on/demandware.static/-/Sites-pandora-master-catalog/default/dwbb259ca6/productimages/singlepackshot/563864C00_RGB.png")</f>
        <v>https://us.pandora.net/on/demandware.static/-/Sites-pandora-master-catalog/default/dwbb259ca6/productimages/singlepackshot/563864C00_RGB.png</v>
      </c>
    </row>
    <row r="2233" spans="1:4" x14ac:dyDescent="0.25">
      <c r="A2233" s="3" t="s">
        <v>2235</v>
      </c>
      <c r="B2233" s="4">
        <v>179</v>
      </c>
      <c r="C2233" s="3" t="str">
        <f ca="1">IFERROR(ROWSDUMMYFUNCTION(IF(A2233="","",IFERROR(IMAGE(CONCATENATE("https://us.pandora.net/on/demandware.static/-/Sites-pandora-master-catalog/default/dwbb259ca6/productimages/singlepackshot/",LEFT(A2233,FIND("-",A2233&amp;"-")-1),"_RGB.png")),""))),"{""url"":""https://us.pandora.net/on/demandware.static/-/Sites-pandora-master-catalog/default/dwbb259ca6/productimages/singlepackshot/563864C00_RGB.png"",""mode"":1}")</f>
        <v>{"url":"https://us.pandora.net/on/demandware.static/-/Sites-pandora-master-catalog/default/dwbb259ca6/productimages/singlepackshot/563864C00_RGB.png","mode":1}</v>
      </c>
      <c r="D2233" s="5" t="str">
        <f ca="1">IFERROR(ROWSDUMMYFUNCTION(IF(A2233="","",CONCATENATE("https://us.pandora.net/on/demandware.static/-/Sites-pandora-master-catalog/default/dwbb259ca6/productimages/singlepackshot/",LEFT(A2233,FIND("-",A2233&amp;"-")-1),"_RGB.png"))),"https://us.pandora.net/on/demandware.static/-/Sites-pandora-master-catalog/default/dwbb259ca6/productimages/singlepackshot/563864C00_RGB.png")</f>
        <v>https://us.pandora.net/on/demandware.static/-/Sites-pandora-master-catalog/default/dwbb259ca6/productimages/singlepackshot/563864C00_RGB.png</v>
      </c>
    </row>
    <row r="2234" spans="1:4" x14ac:dyDescent="0.25">
      <c r="A2234" s="3" t="s">
        <v>2236</v>
      </c>
      <c r="B2234" s="4">
        <v>179</v>
      </c>
      <c r="C2234" s="3" t="str">
        <f ca="1">IFERROR(ROWSDUMMYFUNCTION(IF(A2234="","",IFERROR(IMAGE(CONCATENATE("https://us.pandora.net/on/demandware.static/-/Sites-pandora-master-catalog/default/dwbb259ca6/productimages/singlepackshot/",LEFT(A2234,FIND("-",A2234&amp;"-")-1),"_RGB.png")),""))),"{""url"":""https://us.pandora.net/on/demandware.static/-/Sites-pandora-master-catalog/default/dwbb259ca6/productimages/singlepackshot/563864C00_RGB.png"",""mode"":1}")</f>
        <v>{"url":"https://us.pandora.net/on/demandware.static/-/Sites-pandora-master-catalog/default/dwbb259ca6/productimages/singlepackshot/563864C00_RGB.png","mode":1}</v>
      </c>
      <c r="D2234" s="5" t="str">
        <f ca="1">IFERROR(ROWSDUMMYFUNCTION(IF(A2234="","",CONCATENATE("https://us.pandora.net/on/demandware.static/-/Sites-pandora-master-catalog/default/dwbb259ca6/productimages/singlepackshot/",LEFT(A2234,FIND("-",A2234&amp;"-")-1),"_RGB.png"))),"https://us.pandora.net/on/demandware.static/-/Sites-pandora-master-catalog/default/dwbb259ca6/productimages/singlepackshot/563864C00_RGB.png")</f>
        <v>https://us.pandora.net/on/demandware.static/-/Sites-pandora-master-catalog/default/dwbb259ca6/productimages/singlepackshot/563864C00_RGB.png</v>
      </c>
    </row>
    <row r="2235" spans="1:4" x14ac:dyDescent="0.25">
      <c r="A2235" s="3" t="s">
        <v>2237</v>
      </c>
      <c r="B2235" s="4">
        <v>359</v>
      </c>
      <c r="C2235" s="3" t="str">
        <f ca="1">IFERROR(ROWSDUMMYFUNCTION(IF(A2235="","",IFERROR(IMAGE(CONCATENATE("https://us.pandora.net/on/demandware.static/-/Sites-pandora-master-catalog/default/dwbb259ca6/productimages/singlepackshot/",LEFT(A2235,FIND("-",A2235&amp;"-")-1),"_RGB.png")),""))),"{""url"":""https://us.pandora.net/on/demandware.static/-/Sites-pandora-master-catalog/default/dwbb259ca6/productimages/singlepackshot/563867C00_RGB.png"",""mode"":1}")</f>
        <v>{"url":"https://us.pandora.net/on/demandware.static/-/Sites-pandora-master-catalog/default/dwbb259ca6/productimages/singlepackshot/563867C00_RGB.png","mode":1}</v>
      </c>
      <c r="D2235" s="5" t="str">
        <f ca="1">IFERROR(ROWSDUMMYFUNCTION(IF(A2235="","",CONCATENATE("https://us.pandora.net/on/demandware.static/-/Sites-pandora-master-catalog/default/dwbb259ca6/productimages/singlepackshot/",LEFT(A2235,FIND("-",A2235&amp;"-")-1),"_RGB.png"))),"https://us.pandora.net/on/demandware.static/-/Sites-pandora-master-catalog/default/dwbb259ca6/productimages/singlepackshot/563867C00_RGB.png")</f>
        <v>https://us.pandora.net/on/demandware.static/-/Sites-pandora-master-catalog/default/dwbb259ca6/productimages/singlepackshot/563867C00_RGB.png</v>
      </c>
    </row>
    <row r="2236" spans="1:4" x14ac:dyDescent="0.25">
      <c r="A2236" s="3" t="s">
        <v>2238</v>
      </c>
      <c r="B2236" s="4">
        <v>359</v>
      </c>
      <c r="C2236" s="3" t="str">
        <f ca="1">IFERROR(ROWSDUMMYFUNCTION(IF(A2236="","",IFERROR(IMAGE(CONCATENATE("https://us.pandora.net/on/demandware.static/-/Sites-pandora-master-catalog/default/dwbb259ca6/productimages/singlepackshot/",LEFT(A2236,FIND("-",A2236&amp;"-")-1),"_RGB.png")),""))),"{""url"":""https://us.pandora.net/on/demandware.static/-/Sites-pandora-master-catalog/default/dwbb259ca6/productimages/singlepackshot/563867C00_RGB.png"",""mode"":1}")</f>
        <v>{"url":"https://us.pandora.net/on/demandware.static/-/Sites-pandora-master-catalog/default/dwbb259ca6/productimages/singlepackshot/563867C00_RGB.png","mode":1}</v>
      </c>
      <c r="D2236" s="5" t="str">
        <f ca="1">IFERROR(ROWSDUMMYFUNCTION(IF(A2236="","",CONCATENATE("https://us.pandora.net/on/demandware.static/-/Sites-pandora-master-catalog/default/dwbb259ca6/productimages/singlepackshot/",LEFT(A2236,FIND("-",A2236&amp;"-")-1),"_RGB.png"))),"https://us.pandora.net/on/demandware.static/-/Sites-pandora-master-catalog/default/dwbb259ca6/productimages/singlepackshot/563867C00_RGB.png")</f>
        <v>https://us.pandora.net/on/demandware.static/-/Sites-pandora-master-catalog/default/dwbb259ca6/productimages/singlepackshot/563867C00_RGB.png</v>
      </c>
    </row>
    <row r="2237" spans="1:4" x14ac:dyDescent="0.25">
      <c r="A2237" s="3" t="s">
        <v>2239</v>
      </c>
      <c r="B2237" s="4">
        <v>359</v>
      </c>
      <c r="C2237" s="3" t="str">
        <f ca="1">IFERROR(ROWSDUMMYFUNCTION(IF(A2237="","",IFERROR(IMAGE(CONCATENATE("https://us.pandora.net/on/demandware.static/-/Sites-pandora-master-catalog/default/dwbb259ca6/productimages/singlepackshot/",LEFT(A2237,FIND("-",A2237&amp;"-")-1),"_RGB.png")),""))),"{""url"":""https://us.pandora.net/on/demandware.static/-/Sites-pandora-master-catalog/default/dwbb259ca6/productimages/singlepackshot/563867C00_RGB.png"",""mode"":1}")</f>
        <v>{"url":"https://us.pandora.net/on/demandware.static/-/Sites-pandora-master-catalog/default/dwbb259ca6/productimages/singlepackshot/563867C00_RGB.png","mode":1}</v>
      </c>
      <c r="D2237" s="5" t="str">
        <f ca="1">IFERROR(ROWSDUMMYFUNCTION(IF(A2237="","",CONCATENATE("https://us.pandora.net/on/demandware.static/-/Sites-pandora-master-catalog/default/dwbb259ca6/productimages/singlepackshot/",LEFT(A2237,FIND("-",A2237&amp;"-")-1),"_RGB.png"))),"https://us.pandora.net/on/demandware.static/-/Sites-pandora-master-catalog/default/dwbb259ca6/productimages/singlepackshot/563867C00_RGB.png")</f>
        <v>https://us.pandora.net/on/demandware.static/-/Sites-pandora-master-catalog/default/dwbb259ca6/productimages/singlepackshot/563867C00_RGB.png</v>
      </c>
    </row>
    <row r="2238" spans="1:4" x14ac:dyDescent="0.25">
      <c r="A2238" s="3" t="s">
        <v>2240</v>
      </c>
      <c r="B2238" s="4">
        <v>169</v>
      </c>
      <c r="C2238" s="3" t="str">
        <f ca="1">IFERROR(ROWSDUMMYFUNCTION(IF(A2238="","",IFERROR(IMAGE(CONCATENATE("https://us.pandora.net/on/demandware.static/-/Sites-pandora-master-catalog/default/dwbb259ca6/productimages/singlepackshot/",LEFT(A2238,FIND("-",A2238&amp;"-")-1),"_RGB.png")),""))),"{""url"":""https://us.pandora.net/on/demandware.static/-/Sites-pandora-master-catalog/default/dwbb259ca6/productimages/singlepackshot/563869C00_RGB.png"",""mode"":1}")</f>
        <v>{"url":"https://us.pandora.net/on/demandware.static/-/Sites-pandora-master-catalog/default/dwbb259ca6/productimages/singlepackshot/563869C00_RGB.png","mode":1}</v>
      </c>
      <c r="D2238" s="5" t="str">
        <f ca="1">IFERROR(ROWSDUMMYFUNCTION(IF(A2238="","",CONCATENATE("https://us.pandora.net/on/demandware.static/-/Sites-pandora-master-catalog/default/dwbb259ca6/productimages/singlepackshot/",LEFT(A2238,FIND("-",A2238&amp;"-")-1),"_RGB.png"))),"https://us.pandora.net/on/demandware.static/-/Sites-pandora-master-catalog/default/dwbb259ca6/productimages/singlepackshot/563869C00_RGB.png")</f>
        <v>https://us.pandora.net/on/demandware.static/-/Sites-pandora-master-catalog/default/dwbb259ca6/productimages/singlepackshot/563869C00_RGB.png</v>
      </c>
    </row>
    <row r="2239" spans="1:4" x14ac:dyDescent="0.25">
      <c r="A2239" s="3" t="s">
        <v>2241</v>
      </c>
      <c r="B2239" s="4">
        <v>169</v>
      </c>
      <c r="C2239" s="3" t="str">
        <f ca="1">IFERROR(ROWSDUMMYFUNCTION(IF(A2239="","",IFERROR(IMAGE(CONCATENATE("https://us.pandora.net/on/demandware.static/-/Sites-pandora-master-catalog/default/dwbb259ca6/productimages/singlepackshot/",LEFT(A2239,FIND("-",A2239&amp;"-")-1),"_RGB.png")),""))),"{""url"":""https://us.pandora.net/on/demandware.static/-/Sites-pandora-master-catalog/default/dwbb259ca6/productimages/singlepackshot/563869C00_RGB.png"",""mode"":1}")</f>
        <v>{"url":"https://us.pandora.net/on/demandware.static/-/Sites-pandora-master-catalog/default/dwbb259ca6/productimages/singlepackshot/563869C00_RGB.png","mode":1}</v>
      </c>
      <c r="D2239" s="5" t="str">
        <f ca="1">IFERROR(ROWSDUMMYFUNCTION(IF(A2239="","",CONCATENATE("https://us.pandora.net/on/demandware.static/-/Sites-pandora-master-catalog/default/dwbb259ca6/productimages/singlepackshot/",LEFT(A2239,FIND("-",A2239&amp;"-")-1),"_RGB.png"))),"https://us.pandora.net/on/demandware.static/-/Sites-pandora-master-catalog/default/dwbb259ca6/productimages/singlepackshot/563869C00_RGB.png")</f>
        <v>https://us.pandora.net/on/demandware.static/-/Sites-pandora-master-catalog/default/dwbb259ca6/productimages/singlepackshot/563869C00_RGB.png</v>
      </c>
    </row>
    <row r="2240" spans="1:4" x14ac:dyDescent="0.25">
      <c r="A2240" s="3" t="s">
        <v>2242</v>
      </c>
      <c r="B2240" s="4">
        <v>169</v>
      </c>
      <c r="C2240" s="3" t="str">
        <f ca="1">IFERROR(ROWSDUMMYFUNCTION(IF(A2240="","",IFERROR(IMAGE(CONCATENATE("https://us.pandora.net/on/demandware.static/-/Sites-pandora-master-catalog/default/dwbb259ca6/productimages/singlepackshot/",LEFT(A2240,FIND("-",A2240&amp;"-")-1),"_RGB.png")),""))),"{""url"":""https://us.pandora.net/on/demandware.static/-/Sites-pandora-master-catalog/default/dwbb259ca6/productimages/singlepackshot/563869C00_RGB.png"",""mode"":1}")</f>
        <v>{"url":"https://us.pandora.net/on/demandware.static/-/Sites-pandora-master-catalog/default/dwbb259ca6/productimages/singlepackshot/563869C00_RGB.png","mode":1}</v>
      </c>
      <c r="D2240" s="5" t="str">
        <f ca="1">IFERROR(ROWSDUMMYFUNCTION(IF(A2240="","",CONCATENATE("https://us.pandora.net/on/demandware.static/-/Sites-pandora-master-catalog/default/dwbb259ca6/productimages/singlepackshot/",LEFT(A2240,FIND("-",A2240&amp;"-")-1),"_RGB.png"))),"https://us.pandora.net/on/demandware.static/-/Sites-pandora-master-catalog/default/dwbb259ca6/productimages/singlepackshot/563869C00_RGB.png")</f>
        <v>https://us.pandora.net/on/demandware.static/-/Sites-pandora-master-catalog/default/dwbb259ca6/productimages/singlepackshot/563869C00_RGB.png</v>
      </c>
    </row>
    <row r="2241" spans="1:4" x14ac:dyDescent="0.25">
      <c r="A2241" s="3" t="s">
        <v>2243</v>
      </c>
      <c r="B2241" s="4">
        <v>139</v>
      </c>
      <c r="C2241" s="3" t="str">
        <f ca="1">IFERROR(ROWSDUMMYFUNCTION(IF(A2241="","",IFERROR(IMAGE(CONCATENATE("https://us.pandora.net/on/demandware.static/-/Sites-pandora-master-catalog/default/dwbb259ca6/productimages/singlepackshot/",LEFT(A2241,FIND("-",A2241&amp;"-")-1),"_RGB.png")),""))),"{""url"":""https://us.pandora.net/on/demandware.static/-/Sites-pandora-master-catalog/default/dwbb259ca6/productimages/singlepackshot/564010C01_RGB.png"",""mode"":1}")</f>
        <v>{"url":"https://us.pandora.net/on/demandware.static/-/Sites-pandora-master-catalog/default/dwbb259ca6/productimages/singlepackshot/564010C01_RGB.png","mode":1}</v>
      </c>
      <c r="D2241" s="5" t="str">
        <f ca="1">IFERROR(ROWSDUMMYFUNCTION(IF(A2241="","",CONCATENATE("https://us.pandora.net/on/demandware.static/-/Sites-pandora-master-catalog/default/dwbb259ca6/productimages/singlepackshot/",LEFT(A2241,FIND("-",A2241&amp;"-")-1),"_RGB.png"))),"https://us.pandora.net/on/demandware.static/-/Sites-pandora-master-catalog/default/dwbb259ca6/productimages/singlepackshot/564010C01_RGB.png")</f>
        <v>https://us.pandora.net/on/demandware.static/-/Sites-pandora-master-catalog/default/dwbb259ca6/productimages/singlepackshot/564010C01_RGB.png</v>
      </c>
    </row>
    <row r="2242" spans="1:4" x14ac:dyDescent="0.25">
      <c r="A2242" s="3" t="s">
        <v>2244</v>
      </c>
      <c r="B2242" s="4">
        <v>139</v>
      </c>
      <c r="C2242" s="3" t="str">
        <f ca="1">IFERROR(ROWSDUMMYFUNCTION(IF(A2242="","",IFERROR(IMAGE(CONCATENATE("https://us.pandora.net/on/demandware.static/-/Sites-pandora-master-catalog/default/dwbb259ca6/productimages/singlepackshot/",LEFT(A2242,FIND("-",A2242&amp;"-")-1),"_RGB.png")),""))),"{""url"":""https://us.pandora.net/on/demandware.static/-/Sites-pandora-master-catalog/default/dwbb259ca6/productimages/singlepackshot/564010C01_RGB.png"",""mode"":1}")</f>
        <v>{"url":"https://us.pandora.net/on/demandware.static/-/Sites-pandora-master-catalog/default/dwbb259ca6/productimages/singlepackshot/564010C01_RGB.png","mode":1}</v>
      </c>
      <c r="D2242" s="5" t="str">
        <f ca="1">IFERROR(ROWSDUMMYFUNCTION(IF(A2242="","",CONCATENATE("https://us.pandora.net/on/demandware.static/-/Sites-pandora-master-catalog/default/dwbb259ca6/productimages/singlepackshot/",LEFT(A2242,FIND("-",A2242&amp;"-")-1),"_RGB.png"))),"https://us.pandora.net/on/demandware.static/-/Sites-pandora-master-catalog/default/dwbb259ca6/productimages/singlepackshot/564010C01_RGB.png")</f>
        <v>https://us.pandora.net/on/demandware.static/-/Sites-pandora-master-catalog/default/dwbb259ca6/productimages/singlepackshot/564010C01_RGB.png</v>
      </c>
    </row>
    <row r="2243" spans="1:4" x14ac:dyDescent="0.25">
      <c r="A2243" s="3" t="s">
        <v>2245</v>
      </c>
      <c r="B2243" s="4">
        <v>139</v>
      </c>
      <c r="C2243" s="3" t="str">
        <f ca="1">IFERROR(ROWSDUMMYFUNCTION(IF(A2243="","",IFERROR(IMAGE(CONCATENATE("https://us.pandora.net/on/demandware.static/-/Sites-pandora-master-catalog/default/dwbb259ca6/productimages/singlepackshot/",LEFT(A2243,FIND("-",A2243&amp;"-")-1),"_RGB.png")),""))),"{""url"":""https://us.pandora.net/on/demandware.static/-/Sites-pandora-master-catalog/default/dwbb259ca6/productimages/singlepackshot/564010C01_RGB.png"",""mode"":1}")</f>
        <v>{"url":"https://us.pandora.net/on/demandware.static/-/Sites-pandora-master-catalog/default/dwbb259ca6/productimages/singlepackshot/564010C01_RGB.png","mode":1}</v>
      </c>
      <c r="D2243" s="5" t="str">
        <f ca="1">IFERROR(ROWSDUMMYFUNCTION(IF(A2243="","",CONCATENATE("https://us.pandora.net/on/demandware.static/-/Sites-pandora-master-catalog/default/dwbb259ca6/productimages/singlepackshot/",LEFT(A2243,FIND("-",A2243&amp;"-")-1),"_RGB.png"))),"https://us.pandora.net/on/demandware.static/-/Sites-pandora-master-catalog/default/dwbb259ca6/productimages/singlepackshot/564010C01_RGB.png")</f>
        <v>https://us.pandora.net/on/demandware.static/-/Sites-pandora-master-catalog/default/dwbb259ca6/productimages/singlepackshot/564010C01_RGB.png</v>
      </c>
    </row>
    <row r="2244" spans="1:4" x14ac:dyDescent="0.25">
      <c r="A2244" s="3" t="s">
        <v>2246</v>
      </c>
      <c r="B2244" s="4">
        <v>199</v>
      </c>
      <c r="C2244" s="3" t="str">
        <f ca="1">IFERROR(ROWSDUMMYFUNCTION(IF(A2244="","",IFERROR(IMAGE(CONCATENATE("https://us.pandora.net/on/demandware.static/-/Sites-pandora-master-catalog/default/dwbb259ca6/productimages/singlepackshot/",LEFT(A2244,FIND("-",A2244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44" s="5" t="str">
        <f ca="1">IFERROR(ROWSDUMMYFUNCTION(IF(A2244="","",CONCATENATE("https://us.pandora.net/on/demandware.static/-/Sites-pandora-master-catalog/default/dwbb259ca6/productimages/singlepackshot/",LEFT(A2244,FIND("-",A2244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45" spans="1:4" x14ac:dyDescent="0.25">
      <c r="A2245" s="3" t="s">
        <v>2247</v>
      </c>
      <c r="B2245" s="4">
        <v>199</v>
      </c>
      <c r="C2245" s="3" t="str">
        <f ca="1">IFERROR(ROWSDUMMYFUNCTION(IF(A2245="","",IFERROR(IMAGE(CONCATENATE("https://us.pandora.net/on/demandware.static/-/Sites-pandora-master-catalog/default/dwbb259ca6/productimages/singlepackshot/",LEFT(A2245,FIND("-",A2245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45" s="5" t="str">
        <f ca="1">IFERROR(ROWSDUMMYFUNCTION(IF(A2245="","",CONCATENATE("https://us.pandora.net/on/demandware.static/-/Sites-pandora-master-catalog/default/dwbb259ca6/productimages/singlepackshot/",LEFT(A2245,FIND("-",A2245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46" spans="1:4" x14ac:dyDescent="0.25">
      <c r="A2246" s="3" t="s">
        <v>2248</v>
      </c>
      <c r="B2246" s="4">
        <v>199</v>
      </c>
      <c r="C2246" s="3" t="str">
        <f ca="1">IFERROR(ROWSDUMMYFUNCTION(IF(A2246="","",IFERROR(IMAGE(CONCATENATE("https://us.pandora.net/on/demandware.static/-/Sites-pandora-master-catalog/default/dwbb259ca6/productimages/singlepackshot/",LEFT(A2246,FIND("-",A2246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46" s="5" t="str">
        <f ca="1">IFERROR(ROWSDUMMYFUNCTION(IF(A2246="","",CONCATENATE("https://us.pandora.net/on/demandware.static/-/Sites-pandora-master-catalog/default/dwbb259ca6/productimages/singlepackshot/",LEFT(A2246,FIND("-",A2246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47" spans="1:4" x14ac:dyDescent="0.25">
      <c r="A2247" s="3" t="s">
        <v>2249</v>
      </c>
      <c r="B2247" s="4">
        <v>199</v>
      </c>
      <c r="C2247" s="3" t="str">
        <f ca="1">IFERROR(ROWSDUMMYFUNCTION(IF(A2247="","",IFERROR(IMAGE(CONCATENATE("https://us.pandora.net/on/demandware.static/-/Sites-pandora-master-catalog/default/dwbb259ca6/productimages/singlepackshot/",LEFT(A2247,FIND("-",A2247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47" s="5" t="str">
        <f ca="1">IFERROR(ROWSDUMMYFUNCTION(IF(A2247="","",CONCATENATE("https://us.pandora.net/on/demandware.static/-/Sites-pandora-master-catalog/default/dwbb259ca6/productimages/singlepackshot/",LEFT(A2247,FIND("-",A2247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48" spans="1:4" x14ac:dyDescent="0.25">
      <c r="A2248" s="3" t="s">
        <v>2250</v>
      </c>
      <c r="B2248" s="4">
        <v>199</v>
      </c>
      <c r="C2248" s="3" t="str">
        <f ca="1">IFERROR(ROWSDUMMYFUNCTION(IF(A2248="","",IFERROR(IMAGE(CONCATENATE("https://us.pandora.net/on/demandware.static/-/Sites-pandora-master-catalog/default/dwbb259ca6/productimages/singlepackshot/",LEFT(A2248,FIND("-",A2248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48" s="5" t="str">
        <f ca="1">IFERROR(ROWSDUMMYFUNCTION(IF(A2248="","",CONCATENATE("https://us.pandora.net/on/demandware.static/-/Sites-pandora-master-catalog/default/dwbb259ca6/productimages/singlepackshot/",LEFT(A2248,FIND("-",A2248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49" spans="1:4" x14ac:dyDescent="0.25">
      <c r="A2249" s="3" t="s">
        <v>2251</v>
      </c>
      <c r="B2249" s="4">
        <v>199</v>
      </c>
      <c r="C2249" s="3" t="str">
        <f ca="1">IFERROR(ROWSDUMMYFUNCTION(IF(A2249="","",IFERROR(IMAGE(CONCATENATE("https://us.pandora.net/on/demandware.static/-/Sites-pandora-master-catalog/default/dwbb259ca6/productimages/singlepackshot/",LEFT(A2249,FIND("-",A2249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49" s="5" t="str">
        <f ca="1">IFERROR(ROWSDUMMYFUNCTION(IF(A2249="","",CONCATENATE("https://us.pandora.net/on/demandware.static/-/Sites-pandora-master-catalog/default/dwbb259ca6/productimages/singlepackshot/",LEFT(A2249,FIND("-",A2249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50" spans="1:4" x14ac:dyDescent="0.25">
      <c r="A2250" s="3" t="s">
        <v>2252</v>
      </c>
      <c r="B2250" s="4">
        <v>199</v>
      </c>
      <c r="C2250" s="3" t="str">
        <f ca="1">IFERROR(ROWSDUMMYFUNCTION(IF(A2250="","",IFERROR(IMAGE(CONCATENATE("https://us.pandora.net/on/demandware.static/-/Sites-pandora-master-catalog/default/dwbb259ca6/productimages/singlepackshot/",LEFT(A2250,FIND("-",A2250&amp;"-")-1),"_RGB.png")),""))),"{""url"":""https://us.pandora.net/on/demandware.static/-/Sites-pandora-master-catalog/default/dwbb259ca6/productimages/singlepackshot/564019C01_RGB.png"",""mode"":1}")</f>
        <v>{"url":"https://us.pandora.net/on/demandware.static/-/Sites-pandora-master-catalog/default/dwbb259ca6/productimages/singlepackshot/564019C01_RGB.png","mode":1}</v>
      </c>
      <c r="D2250" s="5" t="str">
        <f ca="1">IFERROR(ROWSDUMMYFUNCTION(IF(A2250="","",CONCATENATE("https://us.pandora.net/on/demandware.static/-/Sites-pandora-master-catalog/default/dwbb259ca6/productimages/singlepackshot/",LEFT(A2250,FIND("-",A2250&amp;"-")-1),"_RGB.png"))),"https://us.pandora.net/on/demandware.static/-/Sites-pandora-master-catalog/default/dwbb259ca6/productimages/singlepackshot/564019C01_RGB.png")</f>
        <v>https://us.pandora.net/on/demandware.static/-/Sites-pandora-master-catalog/default/dwbb259ca6/productimages/singlepackshot/564019C01_RGB.png</v>
      </c>
    </row>
    <row r="2251" spans="1:4" x14ac:dyDescent="0.25">
      <c r="A2251" s="3" t="s">
        <v>2253</v>
      </c>
      <c r="B2251" s="4">
        <v>169</v>
      </c>
      <c r="C2251" s="3" t="str">
        <f ca="1">IFERROR(ROWSDUMMYFUNCTION(IF(A2251="","",IFERROR(IMAGE(CONCATENATE("https://us.pandora.net/on/demandware.static/-/Sites-pandora-master-catalog/default/dwbb259ca6/productimages/singlepackshot/",LEFT(A2251,FIND("-",A2251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1" s="5" t="str">
        <f ca="1">IFERROR(ROWSDUMMYFUNCTION(IF(A2251="","",CONCATENATE("https://us.pandora.net/on/demandware.static/-/Sites-pandora-master-catalog/default/dwbb259ca6/productimages/singlepackshot/",LEFT(A2251,FIND("-",A2251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2" spans="1:4" x14ac:dyDescent="0.25">
      <c r="A2252" s="3" t="s">
        <v>2254</v>
      </c>
      <c r="B2252" s="4">
        <v>169</v>
      </c>
      <c r="C2252" s="3" t="str">
        <f ca="1">IFERROR(ROWSDUMMYFUNCTION(IF(A2252="","",IFERROR(IMAGE(CONCATENATE("https://us.pandora.net/on/demandware.static/-/Sites-pandora-master-catalog/default/dwbb259ca6/productimages/singlepackshot/",LEFT(A2252,FIND("-",A2252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2" s="5" t="str">
        <f ca="1">IFERROR(ROWSDUMMYFUNCTION(IF(A2252="","",CONCATENATE("https://us.pandora.net/on/demandware.static/-/Sites-pandora-master-catalog/default/dwbb259ca6/productimages/singlepackshot/",LEFT(A2252,FIND("-",A2252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3" spans="1:4" x14ac:dyDescent="0.25">
      <c r="A2253" s="3" t="s">
        <v>2255</v>
      </c>
      <c r="B2253" s="4">
        <v>169</v>
      </c>
      <c r="C2253" s="3" t="str">
        <f ca="1">IFERROR(ROWSDUMMYFUNCTION(IF(A2253="","",IFERROR(IMAGE(CONCATENATE("https://us.pandora.net/on/demandware.static/-/Sites-pandora-master-catalog/default/dwbb259ca6/productimages/singlepackshot/",LEFT(A2253,FIND("-",A2253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3" s="5" t="str">
        <f ca="1">IFERROR(ROWSDUMMYFUNCTION(IF(A2253="","",CONCATENATE("https://us.pandora.net/on/demandware.static/-/Sites-pandora-master-catalog/default/dwbb259ca6/productimages/singlepackshot/",LEFT(A2253,FIND("-",A2253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4" spans="1:4" x14ac:dyDescent="0.25">
      <c r="A2254" s="3" t="s">
        <v>2256</v>
      </c>
      <c r="B2254" s="4">
        <v>169</v>
      </c>
      <c r="C2254" s="3" t="str">
        <f ca="1">IFERROR(ROWSDUMMYFUNCTION(IF(A2254="","",IFERROR(IMAGE(CONCATENATE("https://us.pandora.net/on/demandware.static/-/Sites-pandora-master-catalog/default/dwbb259ca6/productimages/singlepackshot/",LEFT(A2254,FIND("-",A2254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4" s="5" t="str">
        <f ca="1">IFERROR(ROWSDUMMYFUNCTION(IF(A2254="","",CONCATENATE("https://us.pandora.net/on/demandware.static/-/Sites-pandora-master-catalog/default/dwbb259ca6/productimages/singlepackshot/",LEFT(A2254,FIND("-",A2254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5" spans="1:4" x14ac:dyDescent="0.25">
      <c r="A2255" s="3" t="s">
        <v>2257</v>
      </c>
      <c r="B2255" s="4">
        <v>169</v>
      </c>
      <c r="C2255" s="3" t="str">
        <f ca="1">IFERROR(ROWSDUMMYFUNCTION(IF(A2255="","",IFERROR(IMAGE(CONCATENATE("https://us.pandora.net/on/demandware.static/-/Sites-pandora-master-catalog/default/dwbb259ca6/productimages/singlepackshot/",LEFT(A2255,FIND("-",A2255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5" s="5" t="str">
        <f ca="1">IFERROR(ROWSDUMMYFUNCTION(IF(A2255="","",CONCATENATE("https://us.pandora.net/on/demandware.static/-/Sites-pandora-master-catalog/default/dwbb259ca6/productimages/singlepackshot/",LEFT(A2255,FIND("-",A2255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6" spans="1:4" x14ac:dyDescent="0.25">
      <c r="A2256" s="3" t="s">
        <v>2258</v>
      </c>
      <c r="B2256" s="4">
        <v>169</v>
      </c>
      <c r="C2256" s="3" t="str">
        <f ca="1">IFERROR(ROWSDUMMYFUNCTION(IF(A2256="","",IFERROR(IMAGE(CONCATENATE("https://us.pandora.net/on/demandware.static/-/Sites-pandora-master-catalog/default/dwbb259ca6/productimages/singlepackshot/",LEFT(A2256,FIND("-",A2256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6" s="5" t="str">
        <f ca="1">IFERROR(ROWSDUMMYFUNCTION(IF(A2256="","",CONCATENATE("https://us.pandora.net/on/demandware.static/-/Sites-pandora-master-catalog/default/dwbb259ca6/productimages/singlepackshot/",LEFT(A2256,FIND("-",A2256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7" spans="1:4" x14ac:dyDescent="0.25">
      <c r="A2257" s="3" t="s">
        <v>2259</v>
      </c>
      <c r="B2257" s="4">
        <v>169</v>
      </c>
      <c r="C2257" s="3" t="str">
        <f ca="1">IFERROR(ROWSDUMMYFUNCTION(IF(A2257="","",IFERROR(IMAGE(CONCATENATE("https://us.pandora.net/on/demandware.static/-/Sites-pandora-master-catalog/default/dwbb259ca6/productimages/singlepackshot/",LEFT(A2257,FIND("-",A2257&amp;"-")-1),"_RGB.png")),""))),"{""url"":""https://us.pandora.net/on/demandware.static/-/Sites-pandora-master-catalog/default/dwbb259ca6/productimages/singlepackshot/564028C00_RGB.png"",""mode"":1}")</f>
        <v>{"url":"https://us.pandora.net/on/demandware.static/-/Sites-pandora-master-catalog/default/dwbb259ca6/productimages/singlepackshot/564028C00_RGB.png","mode":1}</v>
      </c>
      <c r="D2257" s="5" t="str">
        <f ca="1">IFERROR(ROWSDUMMYFUNCTION(IF(A2257="","",CONCATENATE("https://us.pandora.net/on/demandware.static/-/Sites-pandora-master-catalog/default/dwbb259ca6/productimages/singlepackshot/",LEFT(A2257,FIND("-",A2257&amp;"-")-1),"_RGB.png"))),"https://us.pandora.net/on/demandware.static/-/Sites-pandora-master-catalog/default/dwbb259ca6/productimages/singlepackshot/564028C00_RGB.png")</f>
        <v>https://us.pandora.net/on/demandware.static/-/Sites-pandora-master-catalog/default/dwbb259ca6/productimages/singlepackshot/564028C00_RGB.png</v>
      </c>
    </row>
    <row r="2258" spans="1:4" x14ac:dyDescent="0.25">
      <c r="A2258" s="3" t="s">
        <v>2260</v>
      </c>
      <c r="B2258" s="4">
        <v>219</v>
      </c>
      <c r="C2258" s="3" t="str">
        <f ca="1">IFERROR(ROWSDUMMYFUNCTION(IF(A2258="","",IFERROR(IMAGE(CONCATENATE("https://us.pandora.net/on/demandware.static/-/Sites-pandora-master-catalog/default/dwbb259ca6/productimages/singlepackshot/",LEFT(A2258,FIND("-",A2258&amp;"-")-1),"_RGB.png")),""))),"{""url"":""https://us.pandora.net/on/demandware.static/-/Sites-pandora-master-catalog/default/dwbb259ca6/productimages/singlepackshot/564226C01_RGB.png"",""mode"":1}")</f>
        <v>{"url":"https://us.pandora.net/on/demandware.static/-/Sites-pandora-master-catalog/default/dwbb259ca6/productimages/singlepackshot/564226C01_RGB.png","mode":1}</v>
      </c>
      <c r="D2258" s="5" t="str">
        <f ca="1">IFERROR(ROWSDUMMYFUNCTION(IF(A2258="","",CONCATENATE("https://us.pandora.net/on/demandware.static/-/Sites-pandora-master-catalog/default/dwbb259ca6/productimages/singlepackshot/",LEFT(A2258,FIND("-",A2258&amp;"-")-1),"_RGB.png"))),"https://us.pandora.net/on/demandware.static/-/Sites-pandora-master-catalog/default/dwbb259ca6/productimages/singlepackshot/564226C01_RGB.png")</f>
        <v>https://us.pandora.net/on/demandware.static/-/Sites-pandora-master-catalog/default/dwbb259ca6/productimages/singlepackshot/564226C01_RGB.png</v>
      </c>
    </row>
    <row r="2259" spans="1:4" x14ac:dyDescent="0.25">
      <c r="A2259" s="3" t="s">
        <v>2261</v>
      </c>
      <c r="B2259" s="4">
        <v>219</v>
      </c>
      <c r="C2259" s="3" t="str">
        <f ca="1">IFERROR(ROWSDUMMYFUNCTION(IF(A2259="","",IFERROR(IMAGE(CONCATENATE("https://us.pandora.net/on/demandware.static/-/Sites-pandora-master-catalog/default/dwbb259ca6/productimages/singlepackshot/",LEFT(A2259,FIND("-",A2259&amp;"-")-1),"_RGB.png")),""))),"{""url"":""https://us.pandora.net/on/demandware.static/-/Sites-pandora-master-catalog/default/dwbb259ca6/productimages/singlepackshot/564226C01_RGB.png"",""mode"":1}")</f>
        <v>{"url":"https://us.pandora.net/on/demandware.static/-/Sites-pandora-master-catalog/default/dwbb259ca6/productimages/singlepackshot/564226C01_RGB.png","mode":1}</v>
      </c>
      <c r="D2259" s="5" t="str">
        <f ca="1">IFERROR(ROWSDUMMYFUNCTION(IF(A2259="","",CONCATENATE("https://us.pandora.net/on/demandware.static/-/Sites-pandora-master-catalog/default/dwbb259ca6/productimages/singlepackshot/",LEFT(A2259,FIND("-",A2259&amp;"-")-1),"_RGB.png"))),"https://us.pandora.net/on/demandware.static/-/Sites-pandora-master-catalog/default/dwbb259ca6/productimages/singlepackshot/564226C01_RGB.png")</f>
        <v>https://us.pandora.net/on/demandware.static/-/Sites-pandora-master-catalog/default/dwbb259ca6/productimages/singlepackshot/564226C01_RGB.png</v>
      </c>
    </row>
    <row r="2260" spans="1:4" x14ac:dyDescent="0.25">
      <c r="A2260" s="3" t="s">
        <v>2262</v>
      </c>
      <c r="B2260" s="4">
        <v>219</v>
      </c>
      <c r="C2260" s="3" t="str">
        <f ca="1">IFERROR(ROWSDUMMYFUNCTION(IF(A2260="","",IFERROR(IMAGE(CONCATENATE("https://us.pandora.net/on/demandware.static/-/Sites-pandora-master-catalog/default/dwbb259ca6/productimages/singlepackshot/",LEFT(A2260,FIND("-",A2260&amp;"-")-1),"_RGB.png")),""))),"{""url"":""https://us.pandora.net/on/demandware.static/-/Sites-pandora-master-catalog/default/dwbb259ca6/productimages/singlepackshot/564226C01_RGB.png"",""mode"":1}")</f>
        <v>{"url":"https://us.pandora.net/on/demandware.static/-/Sites-pandora-master-catalog/default/dwbb259ca6/productimages/singlepackshot/564226C01_RGB.png","mode":1}</v>
      </c>
      <c r="D2260" s="5" t="str">
        <f ca="1">IFERROR(ROWSDUMMYFUNCTION(IF(A2260="","",CONCATENATE("https://us.pandora.net/on/demandware.static/-/Sites-pandora-master-catalog/default/dwbb259ca6/productimages/singlepackshot/",LEFT(A2260,FIND("-",A2260&amp;"-")-1),"_RGB.png"))),"https://us.pandora.net/on/demandware.static/-/Sites-pandora-master-catalog/default/dwbb259ca6/productimages/singlepackshot/564226C01_RGB.png")</f>
        <v>https://us.pandora.net/on/demandware.static/-/Sites-pandora-master-catalog/default/dwbb259ca6/productimages/singlepackshot/564226C01_RGB.png</v>
      </c>
    </row>
    <row r="2261" spans="1:4" x14ac:dyDescent="0.25">
      <c r="A2261" s="3" t="s">
        <v>2263</v>
      </c>
      <c r="B2261" s="4">
        <v>229</v>
      </c>
      <c r="C2261" s="3" t="str">
        <f ca="1">IFERROR(ROWSDUMMYFUNCTION(IF(A2261="","",IFERROR(IMAGE(CONCATENATE("https://us.pandora.net/on/demandware.static/-/Sites-pandora-master-catalog/default/dwbb259ca6/productimages/singlepackshot/",LEFT(A2261,FIND("-",A2261&amp;"-")-1),"_RGB.png")),""))),"{""url"":""https://us.pandora.net/on/demandware.static/-/Sites-pandora-master-catalog/default/dwbb259ca6/productimages/singlepackshot/564229C01_RGB.png"",""mode"":1}")</f>
        <v>{"url":"https://us.pandora.net/on/demandware.static/-/Sites-pandora-master-catalog/default/dwbb259ca6/productimages/singlepackshot/564229C01_RGB.png","mode":1}</v>
      </c>
      <c r="D2261" s="5" t="str">
        <f ca="1">IFERROR(ROWSDUMMYFUNCTION(IF(A2261="","",CONCATENATE("https://us.pandora.net/on/demandware.static/-/Sites-pandora-master-catalog/default/dwbb259ca6/productimages/singlepackshot/",LEFT(A2261,FIND("-",A2261&amp;"-")-1),"_RGB.png"))),"https://us.pandora.net/on/demandware.static/-/Sites-pandora-master-catalog/default/dwbb259ca6/productimages/singlepackshot/564229C01_RGB.png")</f>
        <v>https://us.pandora.net/on/demandware.static/-/Sites-pandora-master-catalog/default/dwbb259ca6/productimages/singlepackshot/564229C01_RGB.png</v>
      </c>
    </row>
    <row r="2262" spans="1:4" x14ac:dyDescent="0.25">
      <c r="A2262" s="3" t="s">
        <v>2264</v>
      </c>
      <c r="B2262" s="4">
        <v>229</v>
      </c>
      <c r="C2262" s="3" t="str">
        <f ca="1">IFERROR(ROWSDUMMYFUNCTION(IF(A2262="","",IFERROR(IMAGE(CONCATENATE("https://us.pandora.net/on/demandware.static/-/Sites-pandora-master-catalog/default/dwbb259ca6/productimages/singlepackshot/",LEFT(A2262,FIND("-",A2262&amp;"-")-1),"_RGB.png")),""))),"{""url"":""https://us.pandora.net/on/demandware.static/-/Sites-pandora-master-catalog/default/dwbb259ca6/productimages/singlepackshot/564229C01_RGB.png"",""mode"":1}")</f>
        <v>{"url":"https://us.pandora.net/on/demandware.static/-/Sites-pandora-master-catalog/default/dwbb259ca6/productimages/singlepackshot/564229C01_RGB.png","mode":1}</v>
      </c>
      <c r="D2262" s="5" t="str">
        <f ca="1">IFERROR(ROWSDUMMYFUNCTION(IF(A2262="","",CONCATENATE("https://us.pandora.net/on/demandware.static/-/Sites-pandora-master-catalog/default/dwbb259ca6/productimages/singlepackshot/",LEFT(A2262,FIND("-",A2262&amp;"-")-1),"_RGB.png"))),"https://us.pandora.net/on/demandware.static/-/Sites-pandora-master-catalog/default/dwbb259ca6/productimages/singlepackshot/564229C01_RGB.png")</f>
        <v>https://us.pandora.net/on/demandware.static/-/Sites-pandora-master-catalog/default/dwbb259ca6/productimages/singlepackshot/564229C01_RGB.png</v>
      </c>
    </row>
    <row r="2263" spans="1:4" x14ac:dyDescent="0.25">
      <c r="A2263" s="3" t="s">
        <v>2265</v>
      </c>
      <c r="B2263" s="4">
        <v>229</v>
      </c>
      <c r="C2263" s="3" t="str">
        <f ca="1">IFERROR(ROWSDUMMYFUNCTION(IF(A2263="","",IFERROR(IMAGE(CONCATENATE("https://us.pandora.net/on/demandware.static/-/Sites-pandora-master-catalog/default/dwbb259ca6/productimages/singlepackshot/",LEFT(A2263,FIND("-",A2263&amp;"-")-1),"_RGB.png")),""))),"{""url"":""https://us.pandora.net/on/demandware.static/-/Sites-pandora-master-catalog/default/dwbb259ca6/productimages/singlepackshot/564229C01_RGB.png"",""mode"":1}")</f>
        <v>{"url":"https://us.pandora.net/on/demandware.static/-/Sites-pandora-master-catalog/default/dwbb259ca6/productimages/singlepackshot/564229C01_RGB.png","mode":1}</v>
      </c>
      <c r="D2263" s="5" t="str">
        <f ca="1">IFERROR(ROWSDUMMYFUNCTION(IF(A2263="","",CONCATENATE("https://us.pandora.net/on/demandware.static/-/Sites-pandora-master-catalog/default/dwbb259ca6/productimages/singlepackshot/",LEFT(A2263,FIND("-",A2263&amp;"-")-1),"_RGB.png"))),"https://us.pandora.net/on/demandware.static/-/Sites-pandora-master-catalog/default/dwbb259ca6/productimages/singlepackshot/564229C01_RGB.png")</f>
        <v>https://us.pandora.net/on/demandware.static/-/Sites-pandora-master-catalog/default/dwbb259ca6/productimages/singlepackshot/564229C01_RGB.png</v>
      </c>
    </row>
    <row r="2264" spans="1:4" x14ac:dyDescent="0.25">
      <c r="A2264" s="3" t="s">
        <v>2266</v>
      </c>
      <c r="B2264" s="4">
        <v>169</v>
      </c>
      <c r="C2264" s="3" t="str">
        <f ca="1">IFERROR(ROWSDUMMYFUNCTION(IF(A2264="","",IFERROR(IMAGE(CONCATENATE("https://us.pandora.net/on/demandware.static/-/Sites-pandora-master-catalog/default/dwbb259ca6/productimages/singlepackshot/",LEFT(A2264,FIND("-",A2264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64" s="5" t="str">
        <f ca="1">IFERROR(ROWSDUMMYFUNCTION(IF(A2264="","",CONCATENATE("https://us.pandora.net/on/demandware.static/-/Sites-pandora-master-catalog/default/dwbb259ca6/productimages/singlepackshot/",LEFT(A2264,FIND("-",A2264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65" spans="1:4" x14ac:dyDescent="0.25">
      <c r="A2265" s="3" t="s">
        <v>2267</v>
      </c>
      <c r="B2265" s="4">
        <v>169</v>
      </c>
      <c r="C2265" s="3" t="str">
        <f ca="1">IFERROR(ROWSDUMMYFUNCTION(IF(A2265="","",IFERROR(IMAGE(CONCATENATE("https://us.pandora.net/on/demandware.static/-/Sites-pandora-master-catalog/default/dwbb259ca6/productimages/singlepackshot/",LEFT(A2265,FIND("-",A2265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65" s="5" t="str">
        <f ca="1">IFERROR(ROWSDUMMYFUNCTION(IF(A2265="","",CONCATENATE("https://us.pandora.net/on/demandware.static/-/Sites-pandora-master-catalog/default/dwbb259ca6/productimages/singlepackshot/",LEFT(A2265,FIND("-",A2265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66" spans="1:4" x14ac:dyDescent="0.25">
      <c r="A2266" s="3" t="s">
        <v>2268</v>
      </c>
      <c r="B2266" s="4">
        <v>169</v>
      </c>
      <c r="C2266" s="3" t="str">
        <f ca="1">IFERROR(ROWSDUMMYFUNCTION(IF(A2266="","",IFERROR(IMAGE(CONCATENATE("https://us.pandora.net/on/demandware.static/-/Sites-pandora-master-catalog/default/dwbb259ca6/productimages/singlepackshot/",LEFT(A2266,FIND("-",A2266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66" s="5" t="str">
        <f ca="1">IFERROR(ROWSDUMMYFUNCTION(IF(A2266="","",CONCATENATE("https://us.pandora.net/on/demandware.static/-/Sites-pandora-master-catalog/default/dwbb259ca6/productimages/singlepackshot/",LEFT(A2266,FIND("-",A2266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67" spans="1:4" x14ac:dyDescent="0.25">
      <c r="A2267" s="3" t="s">
        <v>2269</v>
      </c>
      <c r="B2267" s="4">
        <v>169</v>
      </c>
      <c r="C2267" s="3" t="str">
        <f ca="1">IFERROR(ROWSDUMMYFUNCTION(IF(A2267="","",IFERROR(IMAGE(CONCATENATE("https://us.pandora.net/on/demandware.static/-/Sites-pandora-master-catalog/default/dwbb259ca6/productimages/singlepackshot/",LEFT(A2267,FIND("-",A2267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67" s="5" t="str">
        <f ca="1">IFERROR(ROWSDUMMYFUNCTION(IF(A2267="","",CONCATENATE("https://us.pandora.net/on/demandware.static/-/Sites-pandora-master-catalog/default/dwbb259ca6/productimages/singlepackshot/",LEFT(A2267,FIND("-",A2267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68" spans="1:4" x14ac:dyDescent="0.25">
      <c r="A2268" s="3" t="s">
        <v>2270</v>
      </c>
      <c r="B2268" s="4">
        <v>169</v>
      </c>
      <c r="C2268" s="3" t="str">
        <f ca="1">IFERROR(ROWSDUMMYFUNCTION(IF(A2268="","",IFERROR(IMAGE(CONCATENATE("https://us.pandora.net/on/demandware.static/-/Sites-pandora-master-catalog/default/dwbb259ca6/productimages/singlepackshot/",LEFT(A2268,FIND("-",A2268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68" s="5" t="str">
        <f ca="1">IFERROR(ROWSDUMMYFUNCTION(IF(A2268="","",CONCATENATE("https://us.pandora.net/on/demandware.static/-/Sites-pandora-master-catalog/default/dwbb259ca6/productimages/singlepackshot/",LEFT(A2268,FIND("-",A2268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69" spans="1:4" x14ac:dyDescent="0.25">
      <c r="A2269" s="3" t="s">
        <v>2271</v>
      </c>
      <c r="B2269" s="4">
        <v>169</v>
      </c>
      <c r="C2269" s="3" t="str">
        <f ca="1">IFERROR(ROWSDUMMYFUNCTION(IF(A2269="","",IFERROR(IMAGE(CONCATENATE("https://us.pandora.net/on/demandware.static/-/Sites-pandora-master-catalog/default/dwbb259ca6/productimages/singlepackshot/",LEFT(A2269,FIND("-",A2269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69" s="5" t="str">
        <f ca="1">IFERROR(ROWSDUMMYFUNCTION(IF(A2269="","",CONCATENATE("https://us.pandora.net/on/demandware.static/-/Sites-pandora-master-catalog/default/dwbb259ca6/productimages/singlepackshot/",LEFT(A2269,FIND("-",A2269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70" spans="1:4" x14ac:dyDescent="0.25">
      <c r="A2270" s="3" t="s">
        <v>2272</v>
      </c>
      <c r="B2270" s="4">
        <v>169</v>
      </c>
      <c r="C2270" s="3" t="str">
        <f ca="1">IFERROR(ROWSDUMMYFUNCTION(IF(A2270="","",IFERROR(IMAGE(CONCATENATE("https://us.pandora.net/on/demandware.static/-/Sites-pandora-master-catalog/default/dwbb259ca6/productimages/singlepackshot/",LEFT(A2270,FIND("-",A2270&amp;"-")-1),"_RGB.png")),""))),"{""url"":""https://us.pandora.net/on/demandware.static/-/Sites-pandora-master-catalog/default/dwbb259ca6/productimages/singlepackshot/564236C00_RGB.png"",""mode"":1}")</f>
        <v>{"url":"https://us.pandora.net/on/demandware.static/-/Sites-pandora-master-catalog/default/dwbb259ca6/productimages/singlepackshot/564236C00_RGB.png","mode":1}</v>
      </c>
      <c r="D2270" s="5" t="str">
        <f ca="1">IFERROR(ROWSDUMMYFUNCTION(IF(A2270="","",CONCATENATE("https://us.pandora.net/on/demandware.static/-/Sites-pandora-master-catalog/default/dwbb259ca6/productimages/singlepackshot/",LEFT(A2270,FIND("-",A2270&amp;"-")-1),"_RGB.png"))),"https://us.pandora.net/on/demandware.static/-/Sites-pandora-master-catalog/default/dwbb259ca6/productimages/singlepackshot/564236C00_RGB.png")</f>
        <v>https://us.pandora.net/on/demandware.static/-/Sites-pandora-master-catalog/default/dwbb259ca6/productimages/singlepackshot/564236C00_RGB.png</v>
      </c>
    </row>
    <row r="2271" spans="1:4" x14ac:dyDescent="0.25">
      <c r="A2271" s="3" t="s">
        <v>2273</v>
      </c>
      <c r="B2271" s="4">
        <v>189</v>
      </c>
      <c r="C2271" s="3" t="str">
        <f ca="1">IFERROR(ROWSDUMMYFUNCTION(IF(A2271="","",IFERROR(IMAGE(CONCATENATE("https://us.pandora.net/on/demandware.static/-/Sites-pandora-master-catalog/default/dwbb259ca6/productimages/singlepackshot/",LEFT(A2271,FIND("-",A2271&amp;"-")-1),"_RGB.png")),""))),"{""url"":""https://us.pandora.net/on/demandware.static/-/Sites-pandora-master-catalog/default/dwbb259ca6/productimages/singlepackshot/568342C01_RGB.png"",""mode"":1}")</f>
        <v>{"url":"https://us.pandora.net/on/demandware.static/-/Sites-pandora-master-catalog/default/dwbb259ca6/productimages/singlepackshot/568342C01_RGB.png","mode":1}</v>
      </c>
      <c r="D2271" s="5" t="str">
        <f ca="1">IFERROR(ROWSDUMMYFUNCTION(IF(A2271="","",CONCATENATE("https://us.pandora.net/on/demandware.static/-/Sites-pandora-master-catalog/default/dwbb259ca6/productimages/singlepackshot/",LEFT(A2271,FIND("-",A2271&amp;"-")-1),"_RGB.png"))),"https://us.pandora.net/on/demandware.static/-/Sites-pandora-master-catalog/default/dwbb259ca6/productimages/singlepackshot/568342C01_RGB.png")</f>
        <v>https://us.pandora.net/on/demandware.static/-/Sites-pandora-master-catalog/default/dwbb259ca6/productimages/singlepackshot/568342C01_RGB.png</v>
      </c>
    </row>
    <row r="2272" spans="1:4" x14ac:dyDescent="0.25">
      <c r="A2272" s="3" t="s">
        <v>2274</v>
      </c>
      <c r="B2272" s="4">
        <v>189</v>
      </c>
      <c r="C2272" s="3" t="str">
        <f ca="1">IFERROR(ROWSDUMMYFUNCTION(IF(A2272="","",IFERROR(IMAGE(CONCATENATE("https://us.pandora.net/on/demandware.static/-/Sites-pandora-master-catalog/default/dwbb259ca6/productimages/singlepackshot/",LEFT(A2272,FIND("-",A2272&amp;"-")-1),"_RGB.png")),""))),"{""url"":""https://us.pandora.net/on/demandware.static/-/Sites-pandora-master-catalog/default/dwbb259ca6/productimages/singlepackshot/568342C01_RGB.png"",""mode"":1}")</f>
        <v>{"url":"https://us.pandora.net/on/demandware.static/-/Sites-pandora-master-catalog/default/dwbb259ca6/productimages/singlepackshot/568342C01_RGB.png","mode":1}</v>
      </c>
      <c r="D2272" s="5" t="str">
        <f ca="1">IFERROR(ROWSDUMMYFUNCTION(IF(A2272="","",CONCATENATE("https://us.pandora.net/on/demandware.static/-/Sites-pandora-master-catalog/default/dwbb259ca6/productimages/singlepackshot/",LEFT(A2272,FIND("-",A2272&amp;"-")-1),"_RGB.png"))),"https://us.pandora.net/on/demandware.static/-/Sites-pandora-master-catalog/default/dwbb259ca6/productimages/singlepackshot/568342C01_RGB.png")</f>
        <v>https://us.pandora.net/on/demandware.static/-/Sites-pandora-master-catalog/default/dwbb259ca6/productimages/singlepackshot/568342C01_RGB.png</v>
      </c>
    </row>
    <row r="2273" spans="1:4" x14ac:dyDescent="0.25">
      <c r="A2273" s="3" t="s">
        <v>2275</v>
      </c>
      <c r="B2273" s="4">
        <v>189</v>
      </c>
      <c r="C2273" s="3" t="str">
        <f ca="1">IFERROR(ROWSDUMMYFUNCTION(IF(A2273="","",IFERROR(IMAGE(CONCATENATE("https://us.pandora.net/on/demandware.static/-/Sites-pandora-master-catalog/default/dwbb259ca6/productimages/singlepackshot/",LEFT(A2273,FIND("-",A2273&amp;"-")-1),"_RGB.png")),""))),"{""url"":""https://us.pandora.net/on/demandware.static/-/Sites-pandora-master-catalog/default/dwbb259ca6/productimages/singlepackshot/568342C01_RGB.png"",""mode"":1}")</f>
        <v>{"url":"https://us.pandora.net/on/demandware.static/-/Sites-pandora-master-catalog/default/dwbb259ca6/productimages/singlepackshot/568342C01_RGB.png","mode":1}</v>
      </c>
      <c r="D2273" s="5" t="str">
        <f ca="1">IFERROR(ROWSDUMMYFUNCTION(IF(A2273="","",CONCATENATE("https://us.pandora.net/on/demandware.static/-/Sites-pandora-master-catalog/default/dwbb259ca6/productimages/singlepackshot/",LEFT(A2273,FIND("-",A2273&amp;"-")-1),"_RGB.png"))),"https://us.pandora.net/on/demandware.static/-/Sites-pandora-master-catalog/default/dwbb259ca6/productimages/singlepackshot/568342C01_RGB.png")</f>
        <v>https://us.pandora.net/on/demandware.static/-/Sites-pandora-master-catalog/default/dwbb259ca6/productimages/singlepackshot/568342C01_RGB.png</v>
      </c>
    </row>
    <row r="2274" spans="1:4" x14ac:dyDescent="0.25">
      <c r="A2274" s="3" t="s">
        <v>2276</v>
      </c>
      <c r="B2274" s="4">
        <v>89</v>
      </c>
      <c r="C2274" s="3" t="str">
        <f ca="1">IFERROR(ROWSDUMMYFUNCTION(IF(A2274="","",IFERROR(IMAGE(CONCATENATE("https://us.pandora.net/on/demandware.static/-/Sites-pandora-master-catalog/default/dwbb259ca6/productimages/singlepackshot/",LEFT(A2274,FIND("-",A2274&amp;"-")-1),"_RGB.png")),""))),"{""url"":""https://us.pandora.net/on/demandware.static/-/Sites-pandora-master-catalog/default/dwbb259ca6/productimages/singlepackshot/568707C00_RGB.png"",""mode"":1}")</f>
        <v>{"url":"https://us.pandora.net/on/demandware.static/-/Sites-pandora-master-catalog/default/dwbb259ca6/productimages/singlepackshot/568707C00_RGB.png","mode":1}</v>
      </c>
      <c r="D2274" s="5" t="str">
        <f ca="1">IFERROR(ROWSDUMMYFUNCTION(IF(A2274="","",CONCATENATE("https://us.pandora.net/on/demandware.static/-/Sites-pandora-master-catalog/default/dwbb259ca6/productimages/singlepackshot/",LEFT(A2274,FIND("-",A2274&amp;"-")-1),"_RGB.png"))),"https://us.pandora.net/on/demandware.static/-/Sites-pandora-master-catalog/default/dwbb259ca6/productimages/singlepackshot/568707C00_RGB.png")</f>
        <v>https://us.pandora.net/on/demandware.static/-/Sites-pandora-master-catalog/default/dwbb259ca6/productimages/singlepackshot/568707C00_RGB.png</v>
      </c>
    </row>
    <row r="2275" spans="1:4" x14ac:dyDescent="0.25">
      <c r="A2275" s="3" t="s">
        <v>2277</v>
      </c>
      <c r="B2275" s="4">
        <v>89</v>
      </c>
      <c r="C2275" s="3" t="str">
        <f ca="1">IFERROR(ROWSDUMMYFUNCTION(IF(A2275="","",IFERROR(IMAGE(CONCATENATE("https://us.pandora.net/on/demandware.static/-/Sites-pandora-master-catalog/default/dwbb259ca6/productimages/singlepackshot/",LEFT(A2275,FIND("-",A2275&amp;"-")-1),"_RGB.png")),""))),"{""url"":""https://us.pandora.net/on/demandware.static/-/Sites-pandora-master-catalog/default/dwbb259ca6/productimages/singlepackshot/568707C00_RGB.png"",""mode"":1}")</f>
        <v>{"url":"https://us.pandora.net/on/demandware.static/-/Sites-pandora-master-catalog/default/dwbb259ca6/productimages/singlepackshot/568707C00_RGB.png","mode":1}</v>
      </c>
      <c r="D2275" s="5" t="str">
        <f ca="1">IFERROR(ROWSDUMMYFUNCTION(IF(A2275="","",CONCATENATE("https://us.pandora.net/on/demandware.static/-/Sites-pandora-master-catalog/default/dwbb259ca6/productimages/singlepackshot/",LEFT(A2275,FIND("-",A2275&amp;"-")-1),"_RGB.png"))),"https://us.pandora.net/on/demandware.static/-/Sites-pandora-master-catalog/default/dwbb259ca6/productimages/singlepackshot/568707C00_RGB.png")</f>
        <v>https://us.pandora.net/on/demandware.static/-/Sites-pandora-master-catalog/default/dwbb259ca6/productimages/singlepackshot/568707C00_RGB.png</v>
      </c>
    </row>
    <row r="2276" spans="1:4" x14ac:dyDescent="0.25">
      <c r="A2276" s="3" t="s">
        <v>2278</v>
      </c>
      <c r="B2276" s="4">
        <v>89</v>
      </c>
      <c r="C2276" s="3" t="str">
        <f ca="1">IFERROR(ROWSDUMMYFUNCTION(IF(A2276="","",IFERROR(IMAGE(CONCATENATE("https://us.pandora.net/on/demandware.static/-/Sites-pandora-master-catalog/default/dwbb259ca6/productimages/singlepackshot/",LEFT(A2276,FIND("-",A2276&amp;"-")-1),"_RGB.png")),""))),"{""url"":""https://us.pandora.net/on/demandware.static/-/Sites-pandora-master-catalog/default/dwbb259ca6/productimages/singlepackshot/568707C00_RGB.png"",""mode"":1}")</f>
        <v>{"url":"https://us.pandora.net/on/demandware.static/-/Sites-pandora-master-catalog/default/dwbb259ca6/productimages/singlepackshot/568707C00_RGB.png","mode":1}</v>
      </c>
      <c r="D2276" s="5" t="str">
        <f ca="1">IFERROR(ROWSDUMMYFUNCTION(IF(A2276="","",CONCATENATE("https://us.pandora.net/on/demandware.static/-/Sites-pandora-master-catalog/default/dwbb259ca6/productimages/singlepackshot/",LEFT(A2276,FIND("-",A2276&amp;"-")-1),"_RGB.png"))),"https://us.pandora.net/on/demandware.static/-/Sites-pandora-master-catalog/default/dwbb259ca6/productimages/singlepackshot/568707C00_RGB.png")</f>
        <v>https://us.pandora.net/on/demandware.static/-/Sites-pandora-master-catalog/default/dwbb259ca6/productimages/singlepackshot/568707C00_RGB.png</v>
      </c>
    </row>
    <row r="2277" spans="1:4" x14ac:dyDescent="0.25">
      <c r="A2277" s="3" t="s">
        <v>2279</v>
      </c>
      <c r="B2277" s="4">
        <v>89</v>
      </c>
      <c r="C2277" s="3" t="str">
        <f ca="1">IFERROR(ROWSDUMMYFUNCTION(IF(A2277="","",IFERROR(IMAGE(CONCATENATE("https://us.pandora.net/on/demandware.static/-/Sites-pandora-master-catalog/default/dwbb259ca6/productimages/singlepackshot/",LEFT(A2277,FIND("-",A2277&amp;"-")-1),"_RGB.png")),""))),"{""url"":""https://us.pandora.net/on/demandware.static/-/Sites-pandora-master-catalog/default/dwbb259ca6/productimages/singlepackshot/568707C00_RGB.png"",""mode"":1}")</f>
        <v>{"url":"https://us.pandora.net/on/demandware.static/-/Sites-pandora-master-catalog/default/dwbb259ca6/productimages/singlepackshot/568707C00_RGB.png","mode":1}</v>
      </c>
      <c r="D2277" s="5" t="str">
        <f ca="1">IFERROR(ROWSDUMMYFUNCTION(IF(A2277="","",CONCATENATE("https://us.pandora.net/on/demandware.static/-/Sites-pandora-master-catalog/default/dwbb259ca6/productimages/singlepackshot/",LEFT(A2277,FIND("-",A2277&amp;"-")-1),"_RGB.png"))),"https://us.pandora.net/on/demandware.static/-/Sites-pandora-master-catalog/default/dwbb259ca6/productimages/singlepackshot/568707C00_RGB.png")</f>
        <v>https://us.pandora.net/on/demandware.static/-/Sites-pandora-master-catalog/default/dwbb259ca6/productimages/singlepackshot/568707C00_RGB.png</v>
      </c>
    </row>
    <row r="2278" spans="1:4" x14ac:dyDescent="0.25">
      <c r="A2278" s="3" t="s">
        <v>2280</v>
      </c>
      <c r="B2278" s="4">
        <v>89</v>
      </c>
      <c r="C2278" s="3" t="str">
        <f ca="1">IFERROR(ROWSDUMMYFUNCTION(IF(A2278="","",IFERROR(IMAGE(CONCATENATE("https://us.pandora.net/on/demandware.static/-/Sites-pandora-master-catalog/default/dwbb259ca6/productimages/singlepackshot/",LEFT(A2278,FIND("-",A2278&amp;"-")-1),"_RGB.png")),""))),"{""url"":""https://us.pandora.net/on/demandware.static/-/Sites-pandora-master-catalog/default/dwbb259ca6/productimages/singlepackshot/568707C00_RGB.png"",""mode"":1}")</f>
        <v>{"url":"https://us.pandora.net/on/demandware.static/-/Sites-pandora-master-catalog/default/dwbb259ca6/productimages/singlepackshot/568707C00_RGB.png","mode":1}</v>
      </c>
      <c r="D2278" s="5" t="str">
        <f ca="1">IFERROR(ROWSDUMMYFUNCTION(IF(A2278="","",CONCATENATE("https://us.pandora.net/on/demandware.static/-/Sites-pandora-master-catalog/default/dwbb259ca6/productimages/singlepackshot/",LEFT(A2278,FIND("-",A2278&amp;"-")-1),"_RGB.png"))),"https://us.pandora.net/on/demandware.static/-/Sites-pandora-master-catalog/default/dwbb259ca6/productimages/singlepackshot/568707C00_RGB.png")</f>
        <v>https://us.pandora.net/on/demandware.static/-/Sites-pandora-master-catalog/default/dwbb259ca6/productimages/singlepackshot/568707C00_RGB.png</v>
      </c>
    </row>
    <row r="2279" spans="1:4" x14ac:dyDescent="0.25">
      <c r="A2279" s="3" t="s">
        <v>2281</v>
      </c>
      <c r="B2279" s="4">
        <v>89</v>
      </c>
      <c r="C2279" s="3" t="str">
        <f ca="1">IFERROR(ROWSDUMMYFUNCTION(IF(A2279="","",IFERROR(IMAGE(CONCATENATE("https://us.pandora.net/on/demandware.static/-/Sites-pandora-master-catalog/default/dwbb259ca6/productimages/singlepackshot/",LEFT(A2279,FIND("-",A2279&amp;"-")-1),"_RGB.png")),""))),"{""url"":""https://us.pandora.net/on/demandware.static/-/Sites-pandora-master-catalog/default/dwbb259ca6/productimages/singlepackshot/568707C00_RGB.png"",""mode"":1}")</f>
        <v>{"url":"https://us.pandora.net/on/demandware.static/-/Sites-pandora-master-catalog/default/dwbb259ca6/productimages/singlepackshot/568707C00_RGB.png","mode":1}</v>
      </c>
      <c r="D2279" s="5" t="str">
        <f ca="1">IFERROR(ROWSDUMMYFUNCTION(IF(A2279="","",CONCATENATE("https://us.pandora.net/on/demandware.static/-/Sites-pandora-master-catalog/default/dwbb259ca6/productimages/singlepackshot/",LEFT(A2279,FIND("-",A2279&amp;"-")-1),"_RGB.png"))),"https://us.pandora.net/on/demandware.static/-/Sites-pandora-master-catalog/default/dwbb259ca6/productimages/singlepackshot/568707C00_RGB.png")</f>
        <v>https://us.pandora.net/on/demandware.static/-/Sites-pandora-master-catalog/default/dwbb259ca6/productimages/singlepackshot/568707C00_RGB.png</v>
      </c>
    </row>
    <row r="2280" spans="1:4" x14ac:dyDescent="0.25">
      <c r="A2280" s="3" t="s">
        <v>2282</v>
      </c>
      <c r="B2280" s="4">
        <v>139</v>
      </c>
      <c r="C2280" s="3" t="str">
        <f ca="1">IFERROR(ROWSDUMMYFUNCTION(IF(A2280="","",IFERROR(IMAGE(CONCATENATE("https://us.pandora.net/on/demandware.static/-/Sites-pandora-master-catalog/default/dwbb259ca6/productimages/singlepackshot/",LEFT(A2280,FIND("-",A2280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0" s="5" t="str">
        <f ca="1">IFERROR(ROWSDUMMYFUNCTION(IF(A2280="","",CONCATENATE("https://us.pandora.net/on/demandware.static/-/Sites-pandora-master-catalog/default/dwbb259ca6/productimages/singlepackshot/",LEFT(A2280,FIND("-",A2280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1" spans="1:4" x14ac:dyDescent="0.25">
      <c r="A2281" s="3" t="s">
        <v>2283</v>
      </c>
      <c r="B2281" s="4">
        <v>139</v>
      </c>
      <c r="C2281" s="3" t="str">
        <f ca="1">IFERROR(ROWSDUMMYFUNCTION(IF(A2281="","",IFERROR(IMAGE(CONCATENATE("https://us.pandora.net/on/demandware.static/-/Sites-pandora-master-catalog/default/dwbb259ca6/productimages/singlepackshot/",LEFT(A2281,FIND("-",A2281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1" s="5" t="str">
        <f ca="1">IFERROR(ROWSDUMMYFUNCTION(IF(A2281="","",CONCATENATE("https://us.pandora.net/on/demandware.static/-/Sites-pandora-master-catalog/default/dwbb259ca6/productimages/singlepackshot/",LEFT(A2281,FIND("-",A2281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2" spans="1:4" x14ac:dyDescent="0.25">
      <c r="A2282" s="3" t="s">
        <v>2284</v>
      </c>
      <c r="B2282" s="4">
        <v>139</v>
      </c>
      <c r="C2282" s="3" t="str">
        <f ca="1">IFERROR(ROWSDUMMYFUNCTION(IF(A2282="","",IFERROR(IMAGE(CONCATENATE("https://us.pandora.net/on/demandware.static/-/Sites-pandora-master-catalog/default/dwbb259ca6/productimages/singlepackshot/",LEFT(A2282,FIND("-",A2282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2" s="5" t="str">
        <f ca="1">IFERROR(ROWSDUMMYFUNCTION(IF(A2282="","",CONCATENATE("https://us.pandora.net/on/demandware.static/-/Sites-pandora-master-catalog/default/dwbb259ca6/productimages/singlepackshot/",LEFT(A2282,FIND("-",A2282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3" spans="1:4" x14ac:dyDescent="0.25">
      <c r="A2283" s="3" t="s">
        <v>2285</v>
      </c>
      <c r="B2283" s="4">
        <v>139</v>
      </c>
      <c r="C2283" s="3" t="str">
        <f ca="1">IFERROR(ROWSDUMMYFUNCTION(IF(A2283="","",IFERROR(IMAGE(CONCATENATE("https://us.pandora.net/on/demandware.static/-/Sites-pandora-master-catalog/default/dwbb259ca6/productimages/singlepackshot/",LEFT(A2283,FIND("-",A2283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3" s="5" t="str">
        <f ca="1">IFERROR(ROWSDUMMYFUNCTION(IF(A2283="","",CONCATENATE("https://us.pandora.net/on/demandware.static/-/Sites-pandora-master-catalog/default/dwbb259ca6/productimages/singlepackshot/",LEFT(A2283,FIND("-",A2283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4" spans="1:4" x14ac:dyDescent="0.25">
      <c r="A2284" s="3" t="s">
        <v>2286</v>
      </c>
      <c r="B2284" s="4">
        <v>139</v>
      </c>
      <c r="C2284" s="3" t="str">
        <f ca="1">IFERROR(ROWSDUMMYFUNCTION(IF(A2284="","",IFERROR(IMAGE(CONCATENATE("https://us.pandora.net/on/demandware.static/-/Sites-pandora-master-catalog/default/dwbb259ca6/productimages/singlepackshot/",LEFT(A2284,FIND("-",A2284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4" s="5" t="str">
        <f ca="1">IFERROR(ROWSDUMMYFUNCTION(IF(A2284="","",CONCATENATE("https://us.pandora.net/on/demandware.static/-/Sites-pandora-master-catalog/default/dwbb259ca6/productimages/singlepackshot/",LEFT(A2284,FIND("-",A2284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5" spans="1:4" x14ac:dyDescent="0.25">
      <c r="A2285" s="3" t="s">
        <v>2287</v>
      </c>
      <c r="B2285" s="4">
        <v>139</v>
      </c>
      <c r="C2285" s="3" t="str">
        <f ca="1">IFERROR(ROWSDUMMYFUNCTION(IF(A2285="","",IFERROR(IMAGE(CONCATENATE("https://us.pandora.net/on/demandware.static/-/Sites-pandora-master-catalog/default/dwbb259ca6/productimages/singlepackshot/",LEFT(A2285,FIND("-",A2285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5" s="5" t="str">
        <f ca="1">IFERROR(ROWSDUMMYFUNCTION(IF(A2285="","",CONCATENATE("https://us.pandora.net/on/demandware.static/-/Sites-pandora-master-catalog/default/dwbb259ca6/productimages/singlepackshot/",LEFT(A2285,FIND("-",A2285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6" spans="1:4" x14ac:dyDescent="0.25">
      <c r="A2286" s="3" t="s">
        <v>2288</v>
      </c>
      <c r="B2286" s="4">
        <v>139</v>
      </c>
      <c r="C2286" s="3" t="str">
        <f ca="1">IFERROR(ROWSDUMMYFUNCTION(IF(A2286="","",IFERROR(IMAGE(CONCATENATE("https://us.pandora.net/on/demandware.static/-/Sites-pandora-master-catalog/default/dwbb259ca6/productimages/singlepackshot/",LEFT(A2286,FIND("-",A2286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6" s="5" t="str">
        <f ca="1">IFERROR(ROWSDUMMYFUNCTION(IF(A2286="","",CONCATENATE("https://us.pandora.net/on/demandware.static/-/Sites-pandora-master-catalog/default/dwbb259ca6/productimages/singlepackshot/",LEFT(A2286,FIND("-",A2286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7" spans="1:4" x14ac:dyDescent="0.25">
      <c r="A2287" s="3" t="s">
        <v>2289</v>
      </c>
      <c r="B2287" s="4">
        <v>139</v>
      </c>
      <c r="C2287" s="3" t="str">
        <f ca="1">IFERROR(ROWSDUMMYFUNCTION(IF(A2287="","",IFERROR(IMAGE(CONCATENATE("https://us.pandora.net/on/demandware.static/-/Sites-pandora-master-catalog/default/dwbb259ca6/productimages/singlepackshot/",LEFT(A2287,FIND("-",A2287&amp;"-")-1),"_RGB.png")),""))),"{""url"":""https://us.pandora.net/on/demandware.static/-/Sites-pandora-master-catalog/default/dwbb259ca6/productimages/singlepackshot/568748C00_RGB.png"",""mode"":1}")</f>
        <v>{"url":"https://us.pandora.net/on/demandware.static/-/Sites-pandora-master-catalog/default/dwbb259ca6/productimages/singlepackshot/568748C00_RGB.png","mode":1}</v>
      </c>
      <c r="D2287" s="5" t="str">
        <f ca="1">IFERROR(ROWSDUMMYFUNCTION(IF(A2287="","",CONCATENATE("https://us.pandora.net/on/demandware.static/-/Sites-pandora-master-catalog/default/dwbb259ca6/productimages/singlepackshot/",LEFT(A2287,FIND("-",A2287&amp;"-")-1),"_RGB.png"))),"https://us.pandora.net/on/demandware.static/-/Sites-pandora-master-catalog/default/dwbb259ca6/productimages/singlepackshot/568748C00_RGB.png")</f>
        <v>https://us.pandora.net/on/demandware.static/-/Sites-pandora-master-catalog/default/dwbb259ca6/productimages/singlepackshot/568748C00_RGB.png</v>
      </c>
    </row>
    <row r="2288" spans="1:4" x14ac:dyDescent="0.25">
      <c r="A2288" s="3" t="s">
        <v>2290</v>
      </c>
      <c r="B2288" s="4">
        <v>189</v>
      </c>
      <c r="C2288" s="3" t="str">
        <f ca="1">IFERROR(ROWSDUMMYFUNCTION(IF(A2288="","",IFERROR(IMAGE(CONCATENATE("https://us.pandora.net/on/demandware.static/-/Sites-pandora-master-catalog/default/dwbb259ca6/productimages/singlepackshot/",LEFT(A2288,FIND("-",A2288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88" s="5" t="str">
        <f ca="1">IFERROR(ROWSDUMMYFUNCTION(IF(A2288="","",CONCATENATE("https://us.pandora.net/on/demandware.static/-/Sites-pandora-master-catalog/default/dwbb259ca6/productimages/singlepackshot/",LEFT(A2288,FIND("-",A2288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89" spans="1:4" x14ac:dyDescent="0.25">
      <c r="A2289" s="3" t="s">
        <v>2291</v>
      </c>
      <c r="B2289" s="4">
        <v>189</v>
      </c>
      <c r="C2289" s="3" t="str">
        <f ca="1">IFERROR(ROWSDUMMYFUNCTION(IF(A2289="","",IFERROR(IMAGE(CONCATENATE("https://us.pandora.net/on/demandware.static/-/Sites-pandora-master-catalog/default/dwbb259ca6/productimages/singlepackshot/",LEFT(A2289,FIND("-",A2289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89" s="5" t="str">
        <f ca="1">IFERROR(ROWSDUMMYFUNCTION(IF(A2289="","",CONCATENATE("https://us.pandora.net/on/demandware.static/-/Sites-pandora-master-catalog/default/dwbb259ca6/productimages/singlepackshot/",LEFT(A2289,FIND("-",A2289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90" spans="1:4" x14ac:dyDescent="0.25">
      <c r="A2290" s="3" t="s">
        <v>2292</v>
      </c>
      <c r="B2290" s="4">
        <v>189</v>
      </c>
      <c r="C2290" s="3" t="str">
        <f ca="1">IFERROR(ROWSDUMMYFUNCTION(IF(A2290="","",IFERROR(IMAGE(CONCATENATE("https://us.pandora.net/on/demandware.static/-/Sites-pandora-master-catalog/default/dwbb259ca6/productimages/singlepackshot/",LEFT(A2290,FIND("-",A2290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90" s="5" t="str">
        <f ca="1">IFERROR(ROWSDUMMYFUNCTION(IF(A2290="","",CONCATENATE("https://us.pandora.net/on/demandware.static/-/Sites-pandora-master-catalog/default/dwbb259ca6/productimages/singlepackshot/",LEFT(A2290,FIND("-",A2290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91" spans="1:4" x14ac:dyDescent="0.25">
      <c r="A2291" s="3" t="s">
        <v>2293</v>
      </c>
      <c r="B2291" s="4">
        <v>189</v>
      </c>
      <c r="C2291" s="3" t="str">
        <f ca="1">IFERROR(ROWSDUMMYFUNCTION(IF(A2291="","",IFERROR(IMAGE(CONCATENATE("https://us.pandora.net/on/demandware.static/-/Sites-pandora-master-catalog/default/dwbb259ca6/productimages/singlepackshot/",LEFT(A2291,FIND("-",A2291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91" s="5" t="str">
        <f ca="1">IFERROR(ROWSDUMMYFUNCTION(IF(A2291="","",CONCATENATE("https://us.pandora.net/on/demandware.static/-/Sites-pandora-master-catalog/default/dwbb259ca6/productimages/singlepackshot/",LEFT(A2291,FIND("-",A2291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92" spans="1:4" x14ac:dyDescent="0.25">
      <c r="A2292" s="3" t="s">
        <v>2294</v>
      </c>
      <c r="B2292" s="4">
        <v>189</v>
      </c>
      <c r="C2292" s="3" t="str">
        <f ca="1">IFERROR(ROWSDUMMYFUNCTION(IF(A2292="","",IFERROR(IMAGE(CONCATENATE("https://us.pandora.net/on/demandware.static/-/Sites-pandora-master-catalog/default/dwbb259ca6/productimages/singlepackshot/",LEFT(A2292,FIND("-",A2292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92" s="5" t="str">
        <f ca="1">IFERROR(ROWSDUMMYFUNCTION(IF(A2292="","",CONCATENATE("https://us.pandora.net/on/demandware.static/-/Sites-pandora-master-catalog/default/dwbb259ca6/productimages/singlepackshot/",LEFT(A2292,FIND("-",A2292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93" spans="1:4" x14ac:dyDescent="0.25">
      <c r="A2293" s="3" t="s">
        <v>2295</v>
      </c>
      <c r="B2293" s="4">
        <v>189</v>
      </c>
      <c r="C2293" s="3" t="str">
        <f ca="1">IFERROR(ROWSDUMMYFUNCTION(IF(A2293="","",IFERROR(IMAGE(CONCATENATE("https://us.pandora.net/on/demandware.static/-/Sites-pandora-master-catalog/default/dwbb259ca6/productimages/singlepackshot/",LEFT(A2293,FIND("-",A2293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93" s="5" t="str">
        <f ca="1">IFERROR(ROWSDUMMYFUNCTION(IF(A2293="","",CONCATENATE("https://us.pandora.net/on/demandware.static/-/Sites-pandora-master-catalog/default/dwbb259ca6/productimages/singlepackshot/",LEFT(A2293,FIND("-",A2293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94" spans="1:4" x14ac:dyDescent="0.25">
      <c r="A2294" s="3" t="s">
        <v>2296</v>
      </c>
      <c r="B2294" s="4">
        <v>189</v>
      </c>
      <c r="C2294" s="3" t="str">
        <f ca="1">IFERROR(ROWSDUMMYFUNCTION(IF(A2294="","",IFERROR(IMAGE(CONCATENATE("https://us.pandora.net/on/demandware.static/-/Sites-pandora-master-catalog/default/dwbb259ca6/productimages/singlepackshot/",LEFT(A2294,FIND("-",A2294&amp;"-")-1),"_RGB.png")),""))),"{""url"":""https://us.pandora.net/on/demandware.static/-/Sites-pandora-master-catalog/default/dwbb259ca6/productimages/singlepackshot/569046C01_RGB.png"",""mode"":1}")</f>
        <v>{"url":"https://us.pandora.net/on/demandware.static/-/Sites-pandora-master-catalog/default/dwbb259ca6/productimages/singlepackshot/569046C01_RGB.png","mode":1}</v>
      </c>
      <c r="D2294" s="5" t="str">
        <f ca="1">IFERROR(ROWSDUMMYFUNCTION(IF(A2294="","",CONCATENATE("https://us.pandora.net/on/demandware.static/-/Sites-pandora-master-catalog/default/dwbb259ca6/productimages/singlepackshot/",LEFT(A2294,FIND("-",A2294&amp;"-")-1),"_RGB.png"))),"https://us.pandora.net/on/demandware.static/-/Sites-pandora-master-catalog/default/dwbb259ca6/productimages/singlepackshot/569046C01_RGB.png")</f>
        <v>https://us.pandora.net/on/demandware.static/-/Sites-pandora-master-catalog/default/dwbb259ca6/productimages/singlepackshot/569046C01_RGB.png</v>
      </c>
    </row>
    <row r="2295" spans="1:4" x14ac:dyDescent="0.25">
      <c r="A2295" s="3" t="s">
        <v>2297</v>
      </c>
      <c r="B2295" s="4">
        <v>169</v>
      </c>
      <c r="C2295" s="3" t="str">
        <f ca="1">IFERROR(ROWSDUMMYFUNCTION(IF(A2295="","",IFERROR(IMAGE(CONCATENATE("https://us.pandora.net/on/demandware.static/-/Sites-pandora-master-catalog/default/dwbb259ca6/productimages/singlepackshot/",LEFT(A2295,FIND("-",A2295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295" s="5" t="str">
        <f ca="1">IFERROR(ROWSDUMMYFUNCTION(IF(A2295="","",CONCATENATE("https://us.pandora.net/on/demandware.static/-/Sites-pandora-master-catalog/default/dwbb259ca6/productimages/singlepackshot/",LEFT(A2295,FIND("-",A2295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296" spans="1:4" x14ac:dyDescent="0.25">
      <c r="A2296" s="3" t="s">
        <v>2298</v>
      </c>
      <c r="B2296" s="4">
        <v>169</v>
      </c>
      <c r="C2296" s="3" t="str">
        <f ca="1">IFERROR(ROWSDUMMYFUNCTION(IF(A2296="","",IFERROR(IMAGE(CONCATENATE("https://us.pandora.net/on/demandware.static/-/Sites-pandora-master-catalog/default/dwbb259ca6/productimages/singlepackshot/",LEFT(A2296,FIND("-",A2296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296" s="5" t="str">
        <f ca="1">IFERROR(ROWSDUMMYFUNCTION(IF(A2296="","",CONCATENATE("https://us.pandora.net/on/demandware.static/-/Sites-pandora-master-catalog/default/dwbb259ca6/productimages/singlepackshot/",LEFT(A2296,FIND("-",A2296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297" spans="1:4" x14ac:dyDescent="0.25">
      <c r="A2297" s="3" t="s">
        <v>2299</v>
      </c>
      <c r="B2297" s="4">
        <v>169</v>
      </c>
      <c r="C2297" s="3" t="str">
        <f ca="1">IFERROR(ROWSDUMMYFUNCTION(IF(A2297="","",IFERROR(IMAGE(CONCATENATE("https://us.pandora.net/on/demandware.static/-/Sites-pandora-master-catalog/default/dwbb259ca6/productimages/singlepackshot/",LEFT(A2297,FIND("-",A2297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297" s="5" t="str">
        <f ca="1">IFERROR(ROWSDUMMYFUNCTION(IF(A2297="","",CONCATENATE("https://us.pandora.net/on/demandware.static/-/Sites-pandora-master-catalog/default/dwbb259ca6/productimages/singlepackshot/",LEFT(A2297,FIND("-",A2297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298" spans="1:4" x14ac:dyDescent="0.25">
      <c r="A2298" s="3" t="s">
        <v>2300</v>
      </c>
      <c r="B2298" s="4">
        <v>169</v>
      </c>
      <c r="C2298" s="3" t="str">
        <f ca="1">IFERROR(ROWSDUMMYFUNCTION(IF(A2298="","",IFERROR(IMAGE(CONCATENATE("https://us.pandora.net/on/demandware.static/-/Sites-pandora-master-catalog/default/dwbb259ca6/productimages/singlepackshot/",LEFT(A2298,FIND("-",A2298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298" s="5" t="str">
        <f ca="1">IFERROR(ROWSDUMMYFUNCTION(IF(A2298="","",CONCATENATE("https://us.pandora.net/on/demandware.static/-/Sites-pandora-master-catalog/default/dwbb259ca6/productimages/singlepackshot/",LEFT(A2298,FIND("-",A2298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299" spans="1:4" x14ac:dyDescent="0.25">
      <c r="A2299" s="3" t="s">
        <v>2301</v>
      </c>
      <c r="B2299" s="4">
        <v>169</v>
      </c>
      <c r="C2299" s="3" t="str">
        <f ca="1">IFERROR(ROWSDUMMYFUNCTION(IF(A2299="","",IFERROR(IMAGE(CONCATENATE("https://us.pandora.net/on/demandware.static/-/Sites-pandora-master-catalog/default/dwbb259ca6/productimages/singlepackshot/",LEFT(A2299,FIND("-",A2299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299" s="5" t="str">
        <f ca="1">IFERROR(ROWSDUMMYFUNCTION(IF(A2299="","",CONCATENATE("https://us.pandora.net/on/demandware.static/-/Sites-pandora-master-catalog/default/dwbb259ca6/productimages/singlepackshot/",LEFT(A2299,FIND("-",A2299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300" spans="1:4" x14ac:dyDescent="0.25">
      <c r="A2300" s="3" t="s">
        <v>2302</v>
      </c>
      <c r="B2300" s="4">
        <v>169</v>
      </c>
      <c r="C2300" s="3" t="str">
        <f ca="1">IFERROR(ROWSDUMMYFUNCTION(IF(A2300="","",IFERROR(IMAGE(CONCATENATE("https://us.pandora.net/on/demandware.static/-/Sites-pandora-master-catalog/default/dwbb259ca6/productimages/singlepackshot/",LEFT(A2300,FIND("-",A2300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300" s="5" t="str">
        <f ca="1">IFERROR(ROWSDUMMYFUNCTION(IF(A2300="","",CONCATENATE("https://us.pandora.net/on/demandware.static/-/Sites-pandora-master-catalog/default/dwbb259ca6/productimages/singlepackshot/",LEFT(A2300,FIND("-",A2300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301" spans="1:4" x14ac:dyDescent="0.25">
      <c r="A2301" s="3" t="s">
        <v>2303</v>
      </c>
      <c r="B2301" s="4">
        <v>169</v>
      </c>
      <c r="C2301" s="3" t="str">
        <f ca="1">IFERROR(ROWSDUMMYFUNCTION(IF(A2301="","",IFERROR(IMAGE(CONCATENATE("https://us.pandora.net/on/demandware.static/-/Sites-pandora-master-catalog/default/dwbb259ca6/productimages/singlepackshot/",LEFT(A2301,FIND("-",A2301&amp;"-")-1),"_RGB.png")),""))),"{""url"":""https://us.pandora.net/on/demandware.static/-/Sites-pandora-master-catalog/default/dwbb259ca6/productimages/singlepackshot/569285C00_RGB.png"",""mode"":1}")</f>
        <v>{"url":"https://us.pandora.net/on/demandware.static/-/Sites-pandora-master-catalog/default/dwbb259ca6/productimages/singlepackshot/569285C00_RGB.png","mode":1}</v>
      </c>
      <c r="D2301" s="5" t="str">
        <f ca="1">IFERROR(ROWSDUMMYFUNCTION(IF(A2301="","",CONCATENATE("https://us.pandora.net/on/demandware.static/-/Sites-pandora-master-catalog/default/dwbb259ca6/productimages/singlepackshot/",LEFT(A2301,FIND("-",A2301&amp;"-")-1),"_RGB.png"))),"https://us.pandora.net/on/demandware.static/-/Sites-pandora-master-catalog/default/dwbb259ca6/productimages/singlepackshot/569285C00_RGB.png")</f>
        <v>https://us.pandora.net/on/demandware.static/-/Sites-pandora-master-catalog/default/dwbb259ca6/productimages/singlepackshot/569285C00_RGB.png</v>
      </c>
    </row>
    <row r="2302" spans="1:4" x14ac:dyDescent="0.25">
      <c r="A2302" s="3" t="s">
        <v>2304</v>
      </c>
      <c r="B2302" s="4">
        <v>149</v>
      </c>
      <c r="C2302" s="3" t="str">
        <f ca="1">IFERROR(ROWSDUMMYFUNCTION(IF(A2302="","",IFERROR(IMAGE(CONCATENATE("https://us.pandora.net/on/demandware.static/-/Sites-pandora-master-catalog/default/dwbb259ca6/productimages/singlepackshot/",LEFT(A2302,FIND("-",A2302&amp;"-")-1),"_RGB.png")),""))),"{""url"":""https://us.pandora.net/on/demandware.static/-/Sites-pandora-master-catalog/default/dwbb259ca6/productimages/singlepackshot/569416C01_RGB.png"",""mode"":1}")</f>
        <v>{"url":"https://us.pandora.net/on/demandware.static/-/Sites-pandora-master-catalog/default/dwbb259ca6/productimages/singlepackshot/569416C01_RGB.png","mode":1}</v>
      </c>
      <c r="D2302" s="5" t="str">
        <f ca="1">IFERROR(ROWSDUMMYFUNCTION(IF(A2302="","",CONCATENATE("https://us.pandora.net/on/demandware.static/-/Sites-pandora-master-catalog/default/dwbb259ca6/productimages/singlepackshot/",LEFT(A2302,FIND("-",A2302&amp;"-")-1),"_RGB.png"))),"https://us.pandora.net/on/demandware.static/-/Sites-pandora-master-catalog/default/dwbb259ca6/productimages/singlepackshot/569416C01_RGB.png")</f>
        <v>https://us.pandora.net/on/demandware.static/-/Sites-pandora-master-catalog/default/dwbb259ca6/productimages/singlepackshot/569416C01_RGB.png</v>
      </c>
    </row>
    <row r="2303" spans="1:4" x14ac:dyDescent="0.25">
      <c r="A2303" s="3" t="s">
        <v>2305</v>
      </c>
      <c r="B2303" s="4">
        <v>149</v>
      </c>
      <c r="C2303" s="3" t="str">
        <f ca="1">IFERROR(ROWSDUMMYFUNCTION(IF(A2303="","",IFERROR(IMAGE(CONCATENATE("https://us.pandora.net/on/demandware.static/-/Sites-pandora-master-catalog/default/dwbb259ca6/productimages/singlepackshot/",LEFT(A2303,FIND("-",A2303&amp;"-")-1),"_RGB.png")),""))),"{""url"":""https://us.pandora.net/on/demandware.static/-/Sites-pandora-master-catalog/default/dwbb259ca6/productimages/singlepackshot/569416C01_RGB.png"",""mode"":1}")</f>
        <v>{"url":"https://us.pandora.net/on/demandware.static/-/Sites-pandora-master-catalog/default/dwbb259ca6/productimages/singlepackshot/569416C01_RGB.png","mode":1}</v>
      </c>
      <c r="D2303" s="5" t="str">
        <f ca="1">IFERROR(ROWSDUMMYFUNCTION(IF(A2303="","",CONCATENATE("https://us.pandora.net/on/demandware.static/-/Sites-pandora-master-catalog/default/dwbb259ca6/productimages/singlepackshot/",LEFT(A2303,FIND("-",A2303&amp;"-")-1),"_RGB.png"))),"https://us.pandora.net/on/demandware.static/-/Sites-pandora-master-catalog/default/dwbb259ca6/productimages/singlepackshot/569416C01_RGB.png")</f>
        <v>https://us.pandora.net/on/demandware.static/-/Sites-pandora-master-catalog/default/dwbb259ca6/productimages/singlepackshot/569416C01_RGB.png</v>
      </c>
    </row>
    <row r="2304" spans="1:4" x14ac:dyDescent="0.25">
      <c r="A2304" s="3" t="s">
        <v>2306</v>
      </c>
      <c r="B2304" s="4">
        <v>149</v>
      </c>
      <c r="C2304" s="3" t="str">
        <f ca="1">IFERROR(ROWSDUMMYFUNCTION(IF(A2304="","",IFERROR(IMAGE(CONCATENATE("https://us.pandora.net/on/demandware.static/-/Sites-pandora-master-catalog/default/dwbb259ca6/productimages/singlepackshot/",LEFT(A2304,FIND("-",A2304&amp;"-")-1),"_RGB.png")),""))),"{""url"":""https://us.pandora.net/on/demandware.static/-/Sites-pandora-master-catalog/default/dwbb259ca6/productimages/singlepackshot/569416C01_RGB.png"",""mode"":1}")</f>
        <v>{"url":"https://us.pandora.net/on/demandware.static/-/Sites-pandora-master-catalog/default/dwbb259ca6/productimages/singlepackshot/569416C01_RGB.png","mode":1}</v>
      </c>
      <c r="D2304" s="5" t="str">
        <f ca="1">IFERROR(ROWSDUMMYFUNCTION(IF(A2304="","",CONCATENATE("https://us.pandora.net/on/demandware.static/-/Sites-pandora-master-catalog/default/dwbb259ca6/productimages/singlepackshot/",LEFT(A2304,FIND("-",A2304&amp;"-")-1),"_RGB.png"))),"https://us.pandora.net/on/demandware.static/-/Sites-pandora-master-catalog/default/dwbb259ca6/productimages/singlepackshot/569416C01_RGB.png")</f>
        <v>https://us.pandora.net/on/demandware.static/-/Sites-pandora-master-catalog/default/dwbb259ca6/productimages/singlepackshot/569416C01_RGB.png</v>
      </c>
    </row>
    <row r="2305" spans="1:4" x14ac:dyDescent="0.25">
      <c r="A2305" s="3" t="s">
        <v>2307</v>
      </c>
      <c r="B2305" s="4">
        <v>159</v>
      </c>
      <c r="C2305" s="3" t="str">
        <f ca="1">IFERROR(ROWSDUMMYFUNCTION(IF(A2305="","",IFERROR(IMAGE(CONCATENATE("https://us.pandora.net/on/demandware.static/-/Sites-pandora-master-catalog/default/dwbb259ca6/productimages/singlepackshot/",LEFT(A2305,FIND("-",A2305&amp;"-")-1),"_RGB.png")),""))),"{""url"":""https://us.pandora.net/on/demandware.static/-/Sites-pandora-master-catalog/default/dwbb259ca6/productimages/singlepackshot/569523C00_RGB.png"",""mode"":1}")</f>
        <v>{"url":"https://us.pandora.net/on/demandware.static/-/Sites-pandora-master-catalog/default/dwbb259ca6/productimages/singlepackshot/569523C00_RGB.png","mode":1}</v>
      </c>
      <c r="D2305" s="5" t="str">
        <f ca="1">IFERROR(ROWSDUMMYFUNCTION(IF(A2305="","",CONCATENATE("https://us.pandora.net/on/demandware.static/-/Sites-pandora-master-catalog/default/dwbb259ca6/productimages/singlepackshot/",LEFT(A2305,FIND("-",A2305&amp;"-")-1),"_RGB.png"))),"https://us.pandora.net/on/demandware.static/-/Sites-pandora-master-catalog/default/dwbb259ca6/productimages/singlepackshot/569523C00_RGB.png")</f>
        <v>https://us.pandora.net/on/demandware.static/-/Sites-pandora-master-catalog/default/dwbb259ca6/productimages/singlepackshot/569523C00_RGB.png</v>
      </c>
    </row>
    <row r="2306" spans="1:4" x14ac:dyDescent="0.25">
      <c r="A2306" s="3" t="s">
        <v>2308</v>
      </c>
      <c r="B2306" s="4">
        <v>159</v>
      </c>
      <c r="C2306" s="3" t="str">
        <f ca="1">IFERROR(ROWSDUMMYFUNCTION(IF(A2306="","",IFERROR(IMAGE(CONCATENATE("https://us.pandora.net/on/demandware.static/-/Sites-pandora-master-catalog/default/dwbb259ca6/productimages/singlepackshot/",LEFT(A2306,FIND("-",A2306&amp;"-")-1),"_RGB.png")),""))),"{""url"":""https://us.pandora.net/on/demandware.static/-/Sites-pandora-master-catalog/default/dwbb259ca6/productimages/singlepackshot/569523C00_RGB.png"",""mode"":1}")</f>
        <v>{"url":"https://us.pandora.net/on/demandware.static/-/Sites-pandora-master-catalog/default/dwbb259ca6/productimages/singlepackshot/569523C00_RGB.png","mode":1}</v>
      </c>
      <c r="D2306" s="5" t="str">
        <f ca="1">IFERROR(ROWSDUMMYFUNCTION(IF(A2306="","",CONCATENATE("https://us.pandora.net/on/demandware.static/-/Sites-pandora-master-catalog/default/dwbb259ca6/productimages/singlepackshot/",LEFT(A2306,FIND("-",A2306&amp;"-")-1),"_RGB.png"))),"https://us.pandora.net/on/demandware.static/-/Sites-pandora-master-catalog/default/dwbb259ca6/productimages/singlepackshot/569523C00_RGB.png")</f>
        <v>https://us.pandora.net/on/demandware.static/-/Sites-pandora-master-catalog/default/dwbb259ca6/productimages/singlepackshot/569523C00_RGB.png</v>
      </c>
    </row>
    <row r="2307" spans="1:4" x14ac:dyDescent="0.25">
      <c r="A2307" s="3" t="s">
        <v>2309</v>
      </c>
      <c r="B2307" s="4">
        <v>159</v>
      </c>
      <c r="C2307" s="3" t="str">
        <f ca="1">IFERROR(ROWSDUMMYFUNCTION(IF(A2307="","",IFERROR(IMAGE(CONCATENATE("https://us.pandora.net/on/demandware.static/-/Sites-pandora-master-catalog/default/dwbb259ca6/productimages/singlepackshot/",LEFT(A2307,FIND("-",A2307&amp;"-")-1),"_RGB.png")),""))),"{""url"":""https://us.pandora.net/on/demandware.static/-/Sites-pandora-master-catalog/default/dwbb259ca6/productimages/singlepackshot/569523C00_RGB.png"",""mode"":1}")</f>
        <v>{"url":"https://us.pandora.net/on/demandware.static/-/Sites-pandora-master-catalog/default/dwbb259ca6/productimages/singlepackshot/569523C00_RGB.png","mode":1}</v>
      </c>
      <c r="D2307" s="5" t="str">
        <f ca="1">IFERROR(ROWSDUMMYFUNCTION(IF(A2307="","",CONCATENATE("https://us.pandora.net/on/demandware.static/-/Sites-pandora-master-catalog/default/dwbb259ca6/productimages/singlepackshot/",LEFT(A2307,FIND("-",A2307&amp;"-")-1),"_RGB.png"))),"https://us.pandora.net/on/demandware.static/-/Sites-pandora-master-catalog/default/dwbb259ca6/productimages/singlepackshot/569523C00_RGB.png")</f>
        <v>https://us.pandora.net/on/demandware.static/-/Sites-pandora-master-catalog/default/dwbb259ca6/productimages/singlepackshot/569523C00_RGB.png</v>
      </c>
    </row>
    <row r="2308" spans="1:4" x14ac:dyDescent="0.25">
      <c r="A2308" s="3" t="s">
        <v>2310</v>
      </c>
      <c r="B2308" s="4">
        <v>99</v>
      </c>
      <c r="C2308" s="3" t="str">
        <f ca="1">IFERROR(ROWSDUMMYFUNCTION(IF(A2308="","",IFERROR(IMAGE(CONCATENATE("https://us.pandora.net/on/demandware.static/-/Sites-pandora-master-catalog/default/dwbb259ca6/productimages/singlepackshot/",LEFT(A2308,FIND("-",A2308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08" s="5" t="str">
        <f ca="1">IFERROR(ROWSDUMMYFUNCTION(IF(A2308="","",CONCATENATE("https://us.pandora.net/on/demandware.static/-/Sites-pandora-master-catalog/default/dwbb259ca6/productimages/singlepackshot/",LEFT(A2308,FIND("-",A2308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09" spans="1:4" x14ac:dyDescent="0.25">
      <c r="A2309" s="3" t="s">
        <v>2311</v>
      </c>
      <c r="B2309" s="4">
        <v>99</v>
      </c>
      <c r="C2309" s="3" t="str">
        <f ca="1">IFERROR(ROWSDUMMYFUNCTION(IF(A2309="","",IFERROR(IMAGE(CONCATENATE("https://us.pandora.net/on/demandware.static/-/Sites-pandora-master-catalog/default/dwbb259ca6/productimages/singlepackshot/",LEFT(A2309,FIND("-",A2309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09" s="5" t="str">
        <f ca="1">IFERROR(ROWSDUMMYFUNCTION(IF(A2309="","",CONCATENATE("https://us.pandora.net/on/demandware.static/-/Sites-pandora-master-catalog/default/dwbb259ca6/productimages/singlepackshot/",LEFT(A2309,FIND("-",A2309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10" spans="1:4" x14ac:dyDescent="0.25">
      <c r="A2310" s="3" t="s">
        <v>2312</v>
      </c>
      <c r="B2310" s="4">
        <v>99</v>
      </c>
      <c r="C2310" s="3" t="str">
        <f ca="1">IFERROR(ROWSDUMMYFUNCTION(IF(A2310="","",IFERROR(IMAGE(CONCATENATE("https://us.pandora.net/on/demandware.static/-/Sites-pandora-master-catalog/default/dwbb259ca6/productimages/singlepackshot/",LEFT(A2310,FIND("-",A2310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10" s="5" t="str">
        <f ca="1">IFERROR(ROWSDUMMYFUNCTION(IF(A2310="","",CONCATENATE("https://us.pandora.net/on/demandware.static/-/Sites-pandora-master-catalog/default/dwbb259ca6/productimages/singlepackshot/",LEFT(A2310,FIND("-",A2310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11" spans="1:4" x14ac:dyDescent="0.25">
      <c r="A2311" s="3" t="s">
        <v>2313</v>
      </c>
      <c r="B2311" s="4">
        <v>99</v>
      </c>
      <c r="C2311" s="3" t="str">
        <f ca="1">IFERROR(ROWSDUMMYFUNCTION(IF(A2311="","",IFERROR(IMAGE(CONCATENATE("https://us.pandora.net/on/demandware.static/-/Sites-pandora-master-catalog/default/dwbb259ca6/productimages/singlepackshot/",LEFT(A2311,FIND("-",A2311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11" s="5" t="str">
        <f ca="1">IFERROR(ROWSDUMMYFUNCTION(IF(A2311="","",CONCATENATE("https://us.pandora.net/on/demandware.static/-/Sites-pandora-master-catalog/default/dwbb259ca6/productimages/singlepackshot/",LEFT(A2311,FIND("-",A2311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12" spans="1:4" x14ac:dyDescent="0.25">
      <c r="A2312" s="3" t="s">
        <v>2314</v>
      </c>
      <c r="B2312" s="4">
        <v>99</v>
      </c>
      <c r="C2312" s="3" t="str">
        <f ca="1">IFERROR(ROWSDUMMYFUNCTION(IF(A2312="","",IFERROR(IMAGE(CONCATENATE("https://us.pandora.net/on/demandware.static/-/Sites-pandora-master-catalog/default/dwbb259ca6/productimages/singlepackshot/",LEFT(A2312,FIND("-",A2312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12" s="5" t="str">
        <f ca="1">IFERROR(ROWSDUMMYFUNCTION(IF(A2312="","",CONCATENATE("https://us.pandora.net/on/demandware.static/-/Sites-pandora-master-catalog/default/dwbb259ca6/productimages/singlepackshot/",LEFT(A2312,FIND("-",A2312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13" spans="1:4" x14ac:dyDescent="0.25">
      <c r="A2313" s="3" t="s">
        <v>2315</v>
      </c>
      <c r="B2313" s="4">
        <v>99</v>
      </c>
      <c r="C2313" s="3" t="str">
        <f ca="1">IFERROR(ROWSDUMMYFUNCTION(IF(A2313="","",IFERROR(IMAGE(CONCATENATE("https://us.pandora.net/on/demandware.static/-/Sites-pandora-master-catalog/default/dwbb259ca6/productimages/singlepackshot/",LEFT(A2313,FIND("-",A2313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13" s="5" t="str">
        <f ca="1">IFERROR(ROWSDUMMYFUNCTION(IF(A2313="","",CONCATENATE("https://us.pandora.net/on/demandware.static/-/Sites-pandora-master-catalog/default/dwbb259ca6/productimages/singlepackshot/",LEFT(A2313,FIND("-",A2313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14" spans="1:4" x14ac:dyDescent="0.25">
      <c r="A2314" s="3" t="s">
        <v>2316</v>
      </c>
      <c r="B2314" s="4">
        <v>99</v>
      </c>
      <c r="C2314" s="3" t="str">
        <f ca="1">IFERROR(ROWSDUMMYFUNCTION(IF(A2314="","",IFERROR(IMAGE(CONCATENATE("https://us.pandora.net/on/demandware.static/-/Sites-pandora-master-catalog/default/dwbb259ca6/productimages/singlepackshot/",LEFT(A2314,FIND("-",A2314&amp;"-")-1),"_RGB.png")),""))),"{""url"":""https://us.pandora.net/on/demandware.static/-/Sites-pandora-master-catalog/default/dwbb259ca6/productimages/singlepackshot/569539C00_RGB.png"",""mode"":1}")</f>
        <v>{"url":"https://us.pandora.net/on/demandware.static/-/Sites-pandora-master-catalog/default/dwbb259ca6/productimages/singlepackshot/569539C00_RGB.png","mode":1}</v>
      </c>
      <c r="D2314" s="5" t="str">
        <f ca="1">IFERROR(ROWSDUMMYFUNCTION(IF(A2314="","",CONCATENATE("https://us.pandora.net/on/demandware.static/-/Sites-pandora-master-catalog/default/dwbb259ca6/productimages/singlepackshot/",LEFT(A2314,FIND("-",A2314&amp;"-")-1),"_RGB.png"))),"https://us.pandora.net/on/demandware.static/-/Sites-pandora-master-catalog/default/dwbb259ca6/productimages/singlepackshot/569539C00_RGB.png")</f>
        <v>https://us.pandora.net/on/demandware.static/-/Sites-pandora-master-catalog/default/dwbb259ca6/productimages/singlepackshot/569539C00_RGB.png</v>
      </c>
    </row>
    <row r="2315" spans="1:4" x14ac:dyDescent="0.25">
      <c r="A2315" s="3" t="s">
        <v>2317</v>
      </c>
      <c r="B2315" s="4">
        <v>149</v>
      </c>
      <c r="C2315" s="3" t="str">
        <f ca="1">IFERROR(ROWSDUMMYFUNCTION(IF(A2315="","",IFERROR(IMAGE(CONCATENATE("https://us.pandora.net/on/demandware.static/-/Sites-pandora-master-catalog/default/dwbb259ca6/productimages/singlepackshot/",LEFT(A2315,FIND("-",A2315&amp;"-")-1),"_RGB.png")),""))),"{""url"":""https://us.pandora.net/on/demandware.static/-/Sites-pandora-master-catalog/default/dwbb259ca6/productimages/singlepackshot/569662C00_RGB.png"",""mode"":1}")</f>
        <v>{"url":"https://us.pandora.net/on/demandware.static/-/Sites-pandora-master-catalog/default/dwbb259ca6/productimages/singlepackshot/569662C00_RGB.png","mode":1}</v>
      </c>
      <c r="D2315" s="5" t="str">
        <f ca="1">IFERROR(ROWSDUMMYFUNCTION(IF(A2315="","",CONCATENATE("https://us.pandora.net/on/demandware.static/-/Sites-pandora-master-catalog/default/dwbb259ca6/productimages/singlepackshot/",LEFT(A2315,FIND("-",A2315&amp;"-")-1),"_RGB.png"))),"https://us.pandora.net/on/demandware.static/-/Sites-pandora-master-catalog/default/dwbb259ca6/productimages/singlepackshot/569662C00_RGB.png")</f>
        <v>https://us.pandora.net/on/demandware.static/-/Sites-pandora-master-catalog/default/dwbb259ca6/productimages/singlepackshot/569662C00_RGB.png</v>
      </c>
    </row>
    <row r="2316" spans="1:4" x14ac:dyDescent="0.25">
      <c r="A2316" s="3" t="s">
        <v>2318</v>
      </c>
      <c r="B2316" s="4">
        <v>149</v>
      </c>
      <c r="C2316" s="3" t="str">
        <f ca="1">IFERROR(ROWSDUMMYFUNCTION(IF(A2316="","",IFERROR(IMAGE(CONCATENATE("https://us.pandora.net/on/demandware.static/-/Sites-pandora-master-catalog/default/dwbb259ca6/productimages/singlepackshot/",LEFT(A2316,FIND("-",A2316&amp;"-")-1),"_RGB.png")),""))),"{""url"":""https://us.pandora.net/on/demandware.static/-/Sites-pandora-master-catalog/default/dwbb259ca6/productimages/singlepackshot/569662C00_RGB.png"",""mode"":1}")</f>
        <v>{"url":"https://us.pandora.net/on/demandware.static/-/Sites-pandora-master-catalog/default/dwbb259ca6/productimages/singlepackshot/569662C00_RGB.png","mode":1}</v>
      </c>
      <c r="D2316" s="5" t="str">
        <f ca="1">IFERROR(ROWSDUMMYFUNCTION(IF(A2316="","",CONCATENATE("https://us.pandora.net/on/demandware.static/-/Sites-pandora-master-catalog/default/dwbb259ca6/productimages/singlepackshot/",LEFT(A2316,FIND("-",A2316&amp;"-")-1),"_RGB.png"))),"https://us.pandora.net/on/demandware.static/-/Sites-pandora-master-catalog/default/dwbb259ca6/productimages/singlepackshot/569662C00_RGB.png")</f>
        <v>https://us.pandora.net/on/demandware.static/-/Sites-pandora-master-catalog/default/dwbb259ca6/productimages/singlepackshot/569662C00_RGB.png</v>
      </c>
    </row>
    <row r="2317" spans="1:4" x14ac:dyDescent="0.25">
      <c r="A2317" s="3" t="s">
        <v>2319</v>
      </c>
      <c r="B2317" s="4">
        <v>149</v>
      </c>
      <c r="C2317" s="3" t="str">
        <f ca="1">IFERROR(ROWSDUMMYFUNCTION(IF(A2317="","",IFERROR(IMAGE(CONCATENATE("https://us.pandora.net/on/demandware.static/-/Sites-pandora-master-catalog/default/dwbb259ca6/productimages/singlepackshot/",LEFT(A2317,FIND("-",A2317&amp;"-")-1),"_RGB.png")),""))),"{""url"":""https://us.pandora.net/on/demandware.static/-/Sites-pandora-master-catalog/default/dwbb259ca6/productimages/singlepackshot/569662C00_RGB.png"",""mode"":1}")</f>
        <v>{"url":"https://us.pandora.net/on/demandware.static/-/Sites-pandora-master-catalog/default/dwbb259ca6/productimages/singlepackshot/569662C00_RGB.png","mode":1}</v>
      </c>
      <c r="D2317" s="5" t="str">
        <f ca="1">IFERROR(ROWSDUMMYFUNCTION(IF(A2317="","",CONCATENATE("https://us.pandora.net/on/demandware.static/-/Sites-pandora-master-catalog/default/dwbb259ca6/productimages/singlepackshot/",LEFT(A2317,FIND("-",A2317&amp;"-")-1),"_RGB.png"))),"https://us.pandora.net/on/demandware.static/-/Sites-pandora-master-catalog/default/dwbb259ca6/productimages/singlepackshot/569662C00_RGB.png")</f>
        <v>https://us.pandora.net/on/demandware.static/-/Sites-pandora-master-catalog/default/dwbb259ca6/productimages/singlepackshot/569662C00_RGB.png</v>
      </c>
    </row>
    <row r="2318" spans="1:4" x14ac:dyDescent="0.25">
      <c r="A2318" s="3" t="s">
        <v>2320</v>
      </c>
      <c r="B2318" s="4">
        <v>149</v>
      </c>
      <c r="C2318" s="3" t="str">
        <f ca="1">IFERROR(ROWSDUMMYFUNCTION(IF(A2318="","",IFERROR(IMAGE(CONCATENATE("https://us.pandora.net/on/demandware.static/-/Sites-pandora-master-catalog/default/dwbb259ca6/productimages/singlepackshot/",LEFT(A2318,FIND("-",A2318&amp;"-")-1),"_RGB.png")),""))),"{""url"":""https://us.pandora.net/on/demandware.static/-/Sites-pandora-master-catalog/default/dwbb259ca6/productimages/singlepackshot/569662C00_RGB.png"",""mode"":1}")</f>
        <v>{"url":"https://us.pandora.net/on/demandware.static/-/Sites-pandora-master-catalog/default/dwbb259ca6/productimages/singlepackshot/569662C00_RGB.png","mode":1}</v>
      </c>
      <c r="D2318" s="5" t="str">
        <f ca="1">IFERROR(ROWSDUMMYFUNCTION(IF(A2318="","",CONCATENATE("https://us.pandora.net/on/demandware.static/-/Sites-pandora-master-catalog/default/dwbb259ca6/productimages/singlepackshot/",LEFT(A2318,FIND("-",A2318&amp;"-")-1),"_RGB.png"))),"https://us.pandora.net/on/demandware.static/-/Sites-pandora-master-catalog/default/dwbb259ca6/productimages/singlepackshot/569662C00_RGB.png")</f>
        <v>https://us.pandora.net/on/demandware.static/-/Sites-pandora-master-catalog/default/dwbb259ca6/productimages/singlepackshot/569662C00_RGB.png</v>
      </c>
    </row>
    <row r="2319" spans="1:4" x14ac:dyDescent="0.25">
      <c r="A2319" s="3" t="s">
        <v>2321</v>
      </c>
      <c r="B2319" s="4">
        <v>149</v>
      </c>
      <c r="C2319" s="3" t="str">
        <f ca="1">IFERROR(ROWSDUMMYFUNCTION(IF(A2319="","",IFERROR(IMAGE(CONCATENATE("https://us.pandora.net/on/demandware.static/-/Sites-pandora-master-catalog/default/dwbb259ca6/productimages/singlepackshot/",LEFT(A2319,FIND("-",A2319&amp;"-")-1),"_RGB.png")),""))),"{""url"":""https://us.pandora.net/on/demandware.static/-/Sites-pandora-master-catalog/default/dwbb259ca6/productimages/singlepackshot/569662C00_RGB.png"",""mode"":1}")</f>
        <v>{"url":"https://us.pandora.net/on/demandware.static/-/Sites-pandora-master-catalog/default/dwbb259ca6/productimages/singlepackshot/569662C00_RGB.png","mode":1}</v>
      </c>
      <c r="D2319" s="5" t="str">
        <f ca="1">IFERROR(ROWSDUMMYFUNCTION(IF(A2319="","",CONCATENATE("https://us.pandora.net/on/demandware.static/-/Sites-pandora-master-catalog/default/dwbb259ca6/productimages/singlepackshot/",LEFT(A2319,FIND("-",A2319&amp;"-")-1),"_RGB.png"))),"https://us.pandora.net/on/demandware.static/-/Sites-pandora-master-catalog/default/dwbb259ca6/productimages/singlepackshot/569662C00_RGB.png")</f>
        <v>https://us.pandora.net/on/demandware.static/-/Sites-pandora-master-catalog/default/dwbb259ca6/productimages/singlepackshot/569662C00_RGB.png</v>
      </c>
    </row>
    <row r="2320" spans="1:4" x14ac:dyDescent="0.25">
      <c r="A2320" s="3" t="s">
        <v>2322</v>
      </c>
      <c r="B2320" s="4">
        <v>129</v>
      </c>
      <c r="C2320" s="3" t="str">
        <f ca="1">IFERROR(ROWSDUMMYFUNCTION(IF(A2320="","",IFERROR(IMAGE(CONCATENATE("https://us.pandora.net/on/demandware.static/-/Sites-pandora-master-catalog/default/dwbb259ca6/productimages/singlepackshot/",LEFT(A2320,FIND("-",A2320&amp;"-")-1),"_RGB.png")),""))),"{""url"":""https://us.pandora.net/on/demandware.static/-/Sites-pandora-master-catalog/default/dwbb259ca6/productimages/singlepackshot/580041C01_RGB.png"",""mode"":1}")</f>
        <v>{"url":"https://us.pandora.net/on/demandware.static/-/Sites-pandora-master-catalog/default/dwbb259ca6/productimages/singlepackshot/580041C01_RGB.png","mode":1}</v>
      </c>
      <c r="D2320" s="5" t="str">
        <f ca="1">IFERROR(ROWSDUMMYFUNCTION(IF(A2320="","",CONCATENATE("https://us.pandora.net/on/demandware.static/-/Sites-pandora-master-catalog/default/dwbb259ca6/productimages/singlepackshot/",LEFT(A2320,FIND("-",A2320&amp;"-")-1),"_RGB.png"))),"https://us.pandora.net/on/demandware.static/-/Sites-pandora-master-catalog/default/dwbb259ca6/productimages/singlepackshot/580041C01_RGB.png")</f>
        <v>https://us.pandora.net/on/demandware.static/-/Sites-pandora-master-catalog/default/dwbb259ca6/productimages/singlepackshot/580041C01_RGB.png</v>
      </c>
    </row>
    <row r="2321" spans="1:4" x14ac:dyDescent="0.25">
      <c r="A2321" s="3" t="s">
        <v>2323</v>
      </c>
      <c r="B2321" s="4">
        <v>129</v>
      </c>
      <c r="C2321" s="3" t="str">
        <f ca="1">IFERROR(ROWSDUMMYFUNCTION(IF(A2321="","",IFERROR(IMAGE(CONCATENATE("https://us.pandora.net/on/demandware.static/-/Sites-pandora-master-catalog/default/dwbb259ca6/productimages/singlepackshot/",LEFT(A2321,FIND("-",A2321&amp;"-")-1),"_RGB.png")),""))),"{""url"":""https://us.pandora.net/on/demandware.static/-/Sites-pandora-master-catalog/default/dwbb259ca6/productimages/singlepackshot/580041C01_RGB.png"",""mode"":1}")</f>
        <v>{"url":"https://us.pandora.net/on/demandware.static/-/Sites-pandora-master-catalog/default/dwbb259ca6/productimages/singlepackshot/580041C01_RGB.png","mode":1}</v>
      </c>
      <c r="D2321" s="5" t="str">
        <f ca="1">IFERROR(ROWSDUMMYFUNCTION(IF(A2321="","",CONCATENATE("https://us.pandora.net/on/demandware.static/-/Sites-pandora-master-catalog/default/dwbb259ca6/productimages/singlepackshot/",LEFT(A2321,FIND("-",A2321&amp;"-")-1),"_RGB.png"))),"https://us.pandora.net/on/demandware.static/-/Sites-pandora-master-catalog/default/dwbb259ca6/productimages/singlepackshot/580041C01_RGB.png")</f>
        <v>https://us.pandora.net/on/demandware.static/-/Sites-pandora-master-catalog/default/dwbb259ca6/productimages/singlepackshot/580041C01_RGB.png</v>
      </c>
    </row>
    <row r="2322" spans="1:4" x14ac:dyDescent="0.25">
      <c r="A2322" s="3" t="s">
        <v>2324</v>
      </c>
      <c r="B2322" s="4">
        <v>129</v>
      </c>
      <c r="C2322" s="3" t="str">
        <f ca="1">IFERROR(ROWSDUMMYFUNCTION(IF(A2322="","",IFERROR(IMAGE(CONCATENATE("https://us.pandora.net/on/demandware.static/-/Sites-pandora-master-catalog/default/dwbb259ca6/productimages/singlepackshot/",LEFT(A2322,FIND("-",A2322&amp;"-")-1),"_RGB.png")),""))),"{""url"":""https://us.pandora.net/on/demandware.static/-/Sites-pandora-master-catalog/default/dwbb259ca6/productimages/singlepackshot/580041C01_RGB.png"",""mode"":1}")</f>
        <v>{"url":"https://us.pandora.net/on/demandware.static/-/Sites-pandora-master-catalog/default/dwbb259ca6/productimages/singlepackshot/580041C01_RGB.png","mode":1}</v>
      </c>
      <c r="D2322" s="5" t="str">
        <f ca="1">IFERROR(ROWSDUMMYFUNCTION(IF(A2322="","",CONCATENATE("https://us.pandora.net/on/demandware.static/-/Sites-pandora-master-catalog/default/dwbb259ca6/productimages/singlepackshot/",LEFT(A2322,FIND("-",A2322&amp;"-")-1),"_RGB.png"))),"https://us.pandora.net/on/demandware.static/-/Sites-pandora-master-catalog/default/dwbb259ca6/productimages/singlepackshot/580041C01_RGB.png")</f>
        <v>https://us.pandora.net/on/demandware.static/-/Sites-pandora-master-catalog/default/dwbb259ca6/productimages/singlepackshot/580041C01_RGB.png</v>
      </c>
    </row>
    <row r="2323" spans="1:4" x14ac:dyDescent="0.25">
      <c r="A2323" s="3" t="s">
        <v>2325</v>
      </c>
      <c r="B2323" s="4">
        <v>99</v>
      </c>
      <c r="C2323" s="3" t="str">
        <f ca="1">IFERROR(ROWSDUMMYFUNCTION(IF(A2323="","",IFERROR(IMAGE(CONCATENATE("https://us.pandora.net/on/demandware.static/-/Sites-pandora-master-catalog/default/dwbb259ca6/productimages/singlepackshot/",LEFT(A2323,FIND("-",A2323&amp;"-")-1),"_RGB.png")),""))),"{""url"":""https://us.pandora.net/on/demandware.static/-/Sites-pandora-master-catalog/default/dwbb259ca6/productimages/singlepackshot/580413_RGB.png"",""mode"":1}")</f>
        <v>{"url":"https://us.pandora.net/on/demandware.static/-/Sites-pandora-master-catalog/default/dwbb259ca6/productimages/singlepackshot/580413_RGB.png","mode":1}</v>
      </c>
      <c r="D2323" s="5" t="str">
        <f ca="1">IFERROR(ROWSDUMMYFUNCTION(IF(A2323="","",CONCATENATE("https://us.pandora.net/on/demandware.static/-/Sites-pandora-master-catalog/default/dwbb259ca6/productimages/singlepackshot/",LEFT(A2323,FIND("-",A2323&amp;"-")-1),"_RGB.png"))),"https://us.pandora.net/on/demandware.static/-/Sites-pandora-master-catalog/default/dwbb259ca6/productimages/singlepackshot/580413_RGB.png")</f>
        <v>https://us.pandora.net/on/demandware.static/-/Sites-pandora-master-catalog/default/dwbb259ca6/productimages/singlepackshot/580413_RGB.png</v>
      </c>
    </row>
    <row r="2324" spans="1:4" x14ac:dyDescent="0.25">
      <c r="A2324" s="3" t="s">
        <v>2326</v>
      </c>
      <c r="B2324" s="4">
        <v>79</v>
      </c>
      <c r="C2324" s="3" t="str">
        <f ca="1">IFERROR(ROWSDUMMYFUNCTION(IF(A2324="","",IFERROR(IMAGE(CONCATENATE("https://us.pandora.net/on/demandware.static/-/Sites-pandora-master-catalog/default/dwbb259ca6/productimages/singlepackshot/",LEFT(A2324,FIND("-",A2324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24" s="5" t="str">
        <f ca="1">IFERROR(ROWSDUMMYFUNCTION(IF(A2324="","",CONCATENATE("https://us.pandora.net/on/demandware.static/-/Sites-pandora-master-catalog/default/dwbb259ca6/productimages/singlepackshot/",LEFT(A2324,FIND("-",A2324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25" spans="1:4" x14ac:dyDescent="0.25">
      <c r="A2325" s="3" t="s">
        <v>2327</v>
      </c>
      <c r="B2325" s="4">
        <v>79</v>
      </c>
      <c r="C2325" s="3" t="str">
        <f ca="1">IFERROR(ROWSDUMMYFUNCTION(IF(A2325="","",IFERROR(IMAGE(CONCATENATE("https://us.pandora.net/on/demandware.static/-/Sites-pandora-master-catalog/default/dwbb259ca6/productimages/singlepackshot/",LEFT(A2325,FIND("-",A2325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25" s="5" t="str">
        <f ca="1">IFERROR(ROWSDUMMYFUNCTION(IF(A2325="","",CONCATENATE("https://us.pandora.net/on/demandware.static/-/Sites-pandora-master-catalog/default/dwbb259ca6/productimages/singlepackshot/",LEFT(A2325,FIND("-",A2325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26" spans="1:4" x14ac:dyDescent="0.25">
      <c r="A2326" s="3" t="s">
        <v>2328</v>
      </c>
      <c r="B2326" s="4">
        <v>79</v>
      </c>
      <c r="C2326" s="3" t="str">
        <f ca="1">IFERROR(ROWSDUMMYFUNCTION(IF(A2326="","",IFERROR(IMAGE(CONCATENATE("https://us.pandora.net/on/demandware.static/-/Sites-pandora-master-catalog/default/dwbb259ca6/productimages/singlepackshot/",LEFT(A2326,FIND("-",A2326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26" s="5" t="str">
        <f ca="1">IFERROR(ROWSDUMMYFUNCTION(IF(A2326="","",CONCATENATE("https://us.pandora.net/on/demandware.static/-/Sites-pandora-master-catalog/default/dwbb259ca6/productimages/singlepackshot/",LEFT(A2326,FIND("-",A2326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27" spans="1:4" x14ac:dyDescent="0.25">
      <c r="A2327" s="3" t="s">
        <v>2329</v>
      </c>
      <c r="B2327" s="4">
        <v>79</v>
      </c>
      <c r="C2327" s="3" t="str">
        <f ca="1">IFERROR(ROWSDUMMYFUNCTION(IF(A2327="","",IFERROR(IMAGE(CONCATENATE("https://us.pandora.net/on/demandware.static/-/Sites-pandora-master-catalog/default/dwbb259ca6/productimages/singlepackshot/",LEFT(A2327,FIND("-",A2327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27" s="5" t="str">
        <f ca="1">IFERROR(ROWSDUMMYFUNCTION(IF(A2327="","",CONCATENATE("https://us.pandora.net/on/demandware.static/-/Sites-pandora-master-catalog/default/dwbb259ca6/productimages/singlepackshot/",LEFT(A2327,FIND("-",A2327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28" spans="1:4" x14ac:dyDescent="0.25">
      <c r="A2328" s="3" t="s">
        <v>2330</v>
      </c>
      <c r="B2328" s="4">
        <v>79</v>
      </c>
      <c r="C2328" s="3" t="str">
        <f ca="1">IFERROR(ROWSDUMMYFUNCTION(IF(A2328="","",IFERROR(IMAGE(CONCATENATE("https://us.pandora.net/on/demandware.static/-/Sites-pandora-master-catalog/default/dwbb259ca6/productimages/singlepackshot/",LEFT(A2328,FIND("-",A2328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28" s="5" t="str">
        <f ca="1">IFERROR(ROWSDUMMYFUNCTION(IF(A2328="","",CONCATENATE("https://us.pandora.net/on/demandware.static/-/Sites-pandora-master-catalog/default/dwbb259ca6/productimages/singlepackshot/",LEFT(A2328,FIND("-",A2328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29" spans="1:4" x14ac:dyDescent="0.25">
      <c r="A2329" s="3" t="s">
        <v>2331</v>
      </c>
      <c r="B2329" s="4">
        <v>79</v>
      </c>
      <c r="C2329" s="3" t="str">
        <f ca="1">IFERROR(ROWSDUMMYFUNCTION(IF(A2329="","",IFERROR(IMAGE(CONCATENATE("https://us.pandora.net/on/demandware.static/-/Sites-pandora-master-catalog/default/dwbb259ca6/productimages/singlepackshot/",LEFT(A2329,FIND("-",A2329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29" s="5" t="str">
        <f ca="1">IFERROR(ROWSDUMMYFUNCTION(IF(A2329="","",CONCATENATE("https://us.pandora.net/on/demandware.static/-/Sites-pandora-master-catalog/default/dwbb259ca6/productimages/singlepackshot/",LEFT(A2329,FIND("-",A2329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30" spans="1:4" x14ac:dyDescent="0.25">
      <c r="A2330" s="3" t="s">
        <v>2332</v>
      </c>
      <c r="B2330" s="4">
        <v>79</v>
      </c>
      <c r="C2330" s="3" t="str">
        <f ca="1">IFERROR(ROWSDUMMYFUNCTION(IF(A2330="","",IFERROR(IMAGE(CONCATENATE("https://us.pandora.net/on/demandware.static/-/Sites-pandora-master-catalog/default/dwbb259ca6/productimages/singlepackshot/",LEFT(A2330,FIND("-",A2330&amp;"-")-1),"_RGB.png")),""))),"{""url"":""https://us.pandora.net/on/demandware.static/-/Sites-pandora-master-catalog/default/dwbb259ca6/productimages/singlepackshot/580719_RGB.png"",""mode"":1}")</f>
        <v>{"url":"https://us.pandora.net/on/demandware.static/-/Sites-pandora-master-catalog/default/dwbb259ca6/productimages/singlepackshot/580719_RGB.png","mode":1}</v>
      </c>
      <c r="D2330" s="5" t="str">
        <f ca="1">IFERROR(ROWSDUMMYFUNCTION(IF(A2330="","",CONCATENATE("https://us.pandora.net/on/demandware.static/-/Sites-pandora-master-catalog/default/dwbb259ca6/productimages/singlepackshot/",LEFT(A2330,FIND("-",A2330&amp;"-")-1),"_RGB.png"))),"https://us.pandora.net/on/demandware.static/-/Sites-pandora-master-catalog/default/dwbb259ca6/productimages/singlepackshot/580719_RGB.png")</f>
        <v>https://us.pandora.net/on/demandware.static/-/Sites-pandora-master-catalog/default/dwbb259ca6/productimages/singlepackshot/580719_RGB.png</v>
      </c>
    </row>
    <row r="2331" spans="1:4" x14ac:dyDescent="0.25">
      <c r="A2331" s="3" t="s">
        <v>2333</v>
      </c>
      <c r="B2331" s="4">
        <v>139</v>
      </c>
      <c r="C2331" s="3" t="str">
        <f ca="1">IFERROR(ROWSDUMMYFUNCTION(IF(A2331="","",IFERROR(IMAGE(CONCATENATE("https://us.pandora.net/on/demandware.static/-/Sites-pandora-master-catalog/default/dwbb259ca6/productimages/singlepackshot/",LEFT(A2331,FIND("-",A2331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1" s="5" t="str">
        <f ca="1">IFERROR(ROWSDUMMYFUNCTION(IF(A2331="","",CONCATENATE("https://us.pandora.net/on/demandware.static/-/Sites-pandora-master-catalog/default/dwbb259ca6/productimages/singlepackshot/",LEFT(A2331,FIND("-",A2331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2" spans="1:4" x14ac:dyDescent="0.25">
      <c r="A2332" s="3" t="s">
        <v>2334</v>
      </c>
      <c r="B2332" s="4">
        <v>139</v>
      </c>
      <c r="C2332" s="3" t="str">
        <f ca="1">IFERROR(ROWSDUMMYFUNCTION(IF(A2332="","",IFERROR(IMAGE(CONCATENATE("https://us.pandora.net/on/demandware.static/-/Sites-pandora-master-catalog/default/dwbb259ca6/productimages/singlepackshot/",LEFT(A2332,FIND("-",A2332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2" s="5" t="str">
        <f ca="1">IFERROR(ROWSDUMMYFUNCTION(IF(A2332="","",CONCATENATE("https://us.pandora.net/on/demandware.static/-/Sites-pandora-master-catalog/default/dwbb259ca6/productimages/singlepackshot/",LEFT(A2332,FIND("-",A2332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3" spans="1:4" x14ac:dyDescent="0.25">
      <c r="A2333" s="3" t="s">
        <v>2335</v>
      </c>
      <c r="B2333" s="4">
        <v>139</v>
      </c>
      <c r="C2333" s="3" t="str">
        <f ca="1">IFERROR(ROWSDUMMYFUNCTION(IF(A2333="","",IFERROR(IMAGE(CONCATENATE("https://us.pandora.net/on/demandware.static/-/Sites-pandora-master-catalog/default/dwbb259ca6/productimages/singlepackshot/",LEFT(A2333,FIND("-",A2333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3" s="5" t="str">
        <f ca="1">IFERROR(ROWSDUMMYFUNCTION(IF(A2333="","",CONCATENATE("https://us.pandora.net/on/demandware.static/-/Sites-pandora-master-catalog/default/dwbb259ca6/productimages/singlepackshot/",LEFT(A2333,FIND("-",A2333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4" spans="1:4" x14ac:dyDescent="0.25">
      <c r="A2334" s="3" t="s">
        <v>2336</v>
      </c>
      <c r="B2334" s="4">
        <v>139</v>
      </c>
      <c r="C2334" s="3" t="str">
        <f ca="1">IFERROR(ROWSDUMMYFUNCTION(IF(A2334="","",IFERROR(IMAGE(CONCATENATE("https://us.pandora.net/on/demandware.static/-/Sites-pandora-master-catalog/default/dwbb259ca6/productimages/singlepackshot/",LEFT(A2334,FIND("-",A2334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4" s="5" t="str">
        <f ca="1">IFERROR(ROWSDUMMYFUNCTION(IF(A2334="","",CONCATENATE("https://us.pandora.net/on/demandware.static/-/Sites-pandora-master-catalog/default/dwbb259ca6/productimages/singlepackshot/",LEFT(A2334,FIND("-",A2334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5" spans="1:4" x14ac:dyDescent="0.25">
      <c r="A2335" s="3" t="s">
        <v>2337</v>
      </c>
      <c r="B2335" s="4">
        <v>139</v>
      </c>
      <c r="C2335" s="3" t="str">
        <f ca="1">IFERROR(ROWSDUMMYFUNCTION(IF(A2335="","",IFERROR(IMAGE(CONCATENATE("https://us.pandora.net/on/demandware.static/-/Sites-pandora-master-catalog/default/dwbb259ca6/productimages/singlepackshot/",LEFT(A2335,FIND("-",A2335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5" s="5" t="str">
        <f ca="1">IFERROR(ROWSDUMMYFUNCTION(IF(A2335="","",CONCATENATE("https://us.pandora.net/on/demandware.static/-/Sites-pandora-master-catalog/default/dwbb259ca6/productimages/singlepackshot/",LEFT(A2335,FIND("-",A2335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6" spans="1:4" x14ac:dyDescent="0.25">
      <c r="A2336" s="3" t="s">
        <v>2338</v>
      </c>
      <c r="B2336" s="4">
        <v>139</v>
      </c>
      <c r="C2336" s="3" t="str">
        <f ca="1">IFERROR(ROWSDUMMYFUNCTION(IF(A2336="","",IFERROR(IMAGE(CONCATENATE("https://us.pandora.net/on/demandware.static/-/Sites-pandora-master-catalog/default/dwbb259ca6/productimages/singlepackshot/",LEFT(A2336,FIND("-",A2336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6" s="5" t="str">
        <f ca="1">IFERROR(ROWSDUMMYFUNCTION(IF(A2336="","",CONCATENATE("https://us.pandora.net/on/demandware.static/-/Sites-pandora-master-catalog/default/dwbb259ca6/productimages/singlepackshot/",LEFT(A2336,FIND("-",A2336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7" spans="1:4" x14ac:dyDescent="0.25">
      <c r="A2337" s="3" t="s">
        <v>2339</v>
      </c>
      <c r="B2337" s="4">
        <v>139</v>
      </c>
      <c r="C2337" s="3" t="str">
        <f ca="1">IFERROR(ROWSDUMMYFUNCTION(IF(A2337="","",IFERROR(IMAGE(CONCATENATE("https://us.pandora.net/on/demandware.static/-/Sites-pandora-master-catalog/default/dwbb259ca6/productimages/singlepackshot/",LEFT(A2337,FIND("-",A2337&amp;"-")-1),"_RGB.png")),""))),"{""url"":""https://us.pandora.net/on/demandware.static/-/Sites-pandora-master-catalog/default/dwbb259ca6/productimages/singlepackshot/580728_RGB.png"",""mode"":1}")</f>
        <v>{"url":"https://us.pandora.net/on/demandware.static/-/Sites-pandora-master-catalog/default/dwbb259ca6/productimages/singlepackshot/580728_RGB.png","mode":1}</v>
      </c>
      <c r="D2337" s="5" t="str">
        <f ca="1">IFERROR(ROWSDUMMYFUNCTION(IF(A2337="","",CONCATENATE("https://us.pandora.net/on/demandware.static/-/Sites-pandora-master-catalog/default/dwbb259ca6/productimages/singlepackshot/",LEFT(A2337,FIND("-",A2337&amp;"-")-1),"_RGB.png"))),"https://us.pandora.net/on/demandware.static/-/Sites-pandora-master-catalog/default/dwbb259ca6/productimages/singlepackshot/580728_RGB.png")</f>
        <v>https://us.pandora.net/on/demandware.static/-/Sites-pandora-master-catalog/default/dwbb259ca6/productimages/singlepackshot/580728_RGB.png</v>
      </c>
    </row>
    <row r="2338" spans="1:4" x14ac:dyDescent="0.25">
      <c r="A2338" s="3" t="s">
        <v>2340</v>
      </c>
      <c r="B2338" s="4">
        <v>149</v>
      </c>
      <c r="C2338" s="3" t="str">
        <f ca="1">IFERROR(ROWSDUMMYFUNCTION(IF(A2338="","",IFERROR(IMAGE(CONCATENATE("https://us.pandora.net/on/demandware.static/-/Sites-pandora-master-catalog/default/dwbb259ca6/productimages/singlepackshot/",LEFT(A2338,FIND("-",A2338&amp;"-")-1),"_RGB.png")),""))),"{""url"":""https://us.pandora.net/on/demandware.static/-/Sites-pandora-master-catalog/default/dwbb259ca6/productimages/singlepackshot/581469C01_RGB.png"",""mode"":1}")</f>
        <v>{"url":"https://us.pandora.net/on/demandware.static/-/Sites-pandora-master-catalog/default/dwbb259ca6/productimages/singlepackshot/581469C01_RGB.png","mode":1}</v>
      </c>
      <c r="D2338" s="5" t="str">
        <f ca="1">IFERROR(ROWSDUMMYFUNCTION(IF(A2338="","",CONCATENATE("https://us.pandora.net/on/demandware.static/-/Sites-pandora-master-catalog/default/dwbb259ca6/productimages/singlepackshot/",LEFT(A2338,FIND("-",A2338&amp;"-")-1),"_RGB.png"))),"https://us.pandora.net/on/demandware.static/-/Sites-pandora-master-catalog/default/dwbb259ca6/productimages/singlepackshot/581469C01_RGB.png")</f>
        <v>https://us.pandora.net/on/demandware.static/-/Sites-pandora-master-catalog/default/dwbb259ca6/productimages/singlepackshot/581469C01_RGB.png</v>
      </c>
    </row>
    <row r="2339" spans="1:4" x14ac:dyDescent="0.25">
      <c r="A2339" s="3" t="s">
        <v>2341</v>
      </c>
      <c r="B2339" s="4">
        <v>149</v>
      </c>
      <c r="C2339" s="3" t="str">
        <f ca="1">IFERROR(ROWSDUMMYFUNCTION(IF(A2339="","",IFERROR(IMAGE(CONCATENATE("https://us.pandora.net/on/demandware.static/-/Sites-pandora-master-catalog/default/dwbb259ca6/productimages/singlepackshot/",LEFT(A2339,FIND("-",A2339&amp;"-")-1),"_RGB.png")),""))),"{""url"":""https://us.pandora.net/on/demandware.static/-/Sites-pandora-master-catalog/default/dwbb259ca6/productimages/singlepackshot/581469C01_RGB.png"",""mode"":1}")</f>
        <v>{"url":"https://us.pandora.net/on/demandware.static/-/Sites-pandora-master-catalog/default/dwbb259ca6/productimages/singlepackshot/581469C01_RGB.png","mode":1}</v>
      </c>
      <c r="D2339" s="5" t="str">
        <f ca="1">IFERROR(ROWSDUMMYFUNCTION(IF(A2339="","",CONCATENATE("https://us.pandora.net/on/demandware.static/-/Sites-pandora-master-catalog/default/dwbb259ca6/productimages/singlepackshot/",LEFT(A2339,FIND("-",A2339&amp;"-")-1),"_RGB.png"))),"https://us.pandora.net/on/demandware.static/-/Sites-pandora-master-catalog/default/dwbb259ca6/productimages/singlepackshot/581469C01_RGB.png")</f>
        <v>https://us.pandora.net/on/demandware.static/-/Sites-pandora-master-catalog/default/dwbb259ca6/productimages/singlepackshot/581469C01_RGB.png</v>
      </c>
    </row>
    <row r="2340" spans="1:4" x14ac:dyDescent="0.25">
      <c r="A2340" s="3" t="s">
        <v>2342</v>
      </c>
      <c r="B2340" s="4">
        <v>149</v>
      </c>
      <c r="C2340" s="3" t="str">
        <f ca="1">IFERROR(ROWSDUMMYFUNCTION(IF(A2340="","",IFERROR(IMAGE(CONCATENATE("https://us.pandora.net/on/demandware.static/-/Sites-pandora-master-catalog/default/dwbb259ca6/productimages/singlepackshot/",LEFT(A2340,FIND("-",A2340&amp;"-")-1),"_RGB.png")),""))),"{""url"":""https://us.pandora.net/on/demandware.static/-/Sites-pandora-master-catalog/default/dwbb259ca6/productimages/singlepackshot/581469C01_RGB.png"",""mode"":1}")</f>
        <v>{"url":"https://us.pandora.net/on/demandware.static/-/Sites-pandora-master-catalog/default/dwbb259ca6/productimages/singlepackshot/581469C01_RGB.png","mode":1}</v>
      </c>
      <c r="D2340" s="5" t="str">
        <f ca="1">IFERROR(ROWSDUMMYFUNCTION(IF(A2340="","",CONCATENATE("https://us.pandora.net/on/demandware.static/-/Sites-pandora-master-catalog/default/dwbb259ca6/productimages/singlepackshot/",LEFT(A2340,FIND("-",A2340&amp;"-")-1),"_RGB.png"))),"https://us.pandora.net/on/demandware.static/-/Sites-pandora-master-catalog/default/dwbb259ca6/productimages/singlepackshot/581469C01_RGB.png")</f>
        <v>https://us.pandora.net/on/demandware.static/-/Sites-pandora-master-catalog/default/dwbb259ca6/productimages/singlepackshot/581469C01_RGB.png</v>
      </c>
    </row>
    <row r="2341" spans="1:4" x14ac:dyDescent="0.25">
      <c r="A2341" s="3" t="s">
        <v>2343</v>
      </c>
      <c r="B2341" s="4">
        <v>149</v>
      </c>
      <c r="C2341" s="3" t="str">
        <f ca="1">IFERROR(ROWSDUMMYFUNCTION(IF(A2341="","",IFERROR(IMAGE(CONCATENATE("https://us.pandora.net/on/demandware.static/-/Sites-pandora-master-catalog/default/dwbb259ca6/productimages/singlepackshot/",LEFT(A2341,FIND("-",A2341&amp;"-")-1),"_RGB.png")),""))),"{""url"":""https://us.pandora.net/on/demandware.static/-/Sites-pandora-master-catalog/default/dwbb259ca6/productimages/singlepackshot/581469C02_RGB.png"",""mode"":1}")</f>
        <v>{"url":"https://us.pandora.net/on/demandware.static/-/Sites-pandora-master-catalog/default/dwbb259ca6/productimages/singlepackshot/581469C02_RGB.png","mode":1}</v>
      </c>
      <c r="D2341" s="5" t="str">
        <f ca="1">IFERROR(ROWSDUMMYFUNCTION(IF(A2341="","",CONCATENATE("https://us.pandora.net/on/demandware.static/-/Sites-pandora-master-catalog/default/dwbb259ca6/productimages/singlepackshot/",LEFT(A2341,FIND("-",A2341&amp;"-")-1),"_RGB.png"))),"https://us.pandora.net/on/demandware.static/-/Sites-pandora-master-catalog/default/dwbb259ca6/productimages/singlepackshot/581469C02_RGB.png")</f>
        <v>https://us.pandora.net/on/demandware.static/-/Sites-pandora-master-catalog/default/dwbb259ca6/productimages/singlepackshot/581469C02_RGB.png</v>
      </c>
    </row>
    <row r="2342" spans="1:4" x14ac:dyDescent="0.25">
      <c r="A2342" s="3" t="s">
        <v>2344</v>
      </c>
      <c r="B2342" s="4">
        <v>149</v>
      </c>
      <c r="C2342" s="3" t="str">
        <f ca="1">IFERROR(ROWSDUMMYFUNCTION(IF(A2342="","",IFERROR(IMAGE(CONCATENATE("https://us.pandora.net/on/demandware.static/-/Sites-pandora-master-catalog/default/dwbb259ca6/productimages/singlepackshot/",LEFT(A2342,FIND("-",A2342&amp;"-")-1),"_RGB.png")),""))),"{""url"":""https://us.pandora.net/on/demandware.static/-/Sites-pandora-master-catalog/default/dwbb259ca6/productimages/singlepackshot/581469C02_RGB.png"",""mode"":1}")</f>
        <v>{"url":"https://us.pandora.net/on/demandware.static/-/Sites-pandora-master-catalog/default/dwbb259ca6/productimages/singlepackshot/581469C02_RGB.png","mode":1}</v>
      </c>
      <c r="D2342" s="5" t="str">
        <f ca="1">IFERROR(ROWSDUMMYFUNCTION(IF(A2342="","",CONCATENATE("https://us.pandora.net/on/demandware.static/-/Sites-pandora-master-catalog/default/dwbb259ca6/productimages/singlepackshot/",LEFT(A2342,FIND("-",A2342&amp;"-")-1),"_RGB.png"))),"https://us.pandora.net/on/demandware.static/-/Sites-pandora-master-catalog/default/dwbb259ca6/productimages/singlepackshot/581469C02_RGB.png")</f>
        <v>https://us.pandora.net/on/demandware.static/-/Sites-pandora-master-catalog/default/dwbb259ca6/productimages/singlepackshot/581469C02_RGB.png</v>
      </c>
    </row>
    <row r="2343" spans="1:4" x14ac:dyDescent="0.25">
      <c r="A2343" s="3" t="s">
        <v>2345</v>
      </c>
      <c r="B2343" s="4">
        <v>149</v>
      </c>
      <c r="C2343" s="3" t="str">
        <f ca="1">IFERROR(ROWSDUMMYFUNCTION(IF(A2343="","",IFERROR(IMAGE(CONCATENATE("https://us.pandora.net/on/demandware.static/-/Sites-pandora-master-catalog/default/dwbb259ca6/productimages/singlepackshot/",LEFT(A2343,FIND("-",A2343&amp;"-")-1),"_RGB.png")),""))),"{""url"":""https://us.pandora.net/on/demandware.static/-/Sites-pandora-master-catalog/default/dwbb259ca6/productimages/singlepackshot/581469C02_RGB.png"",""mode"":1}")</f>
        <v>{"url":"https://us.pandora.net/on/demandware.static/-/Sites-pandora-master-catalog/default/dwbb259ca6/productimages/singlepackshot/581469C02_RGB.png","mode":1}</v>
      </c>
      <c r="D2343" s="5" t="str">
        <f ca="1">IFERROR(ROWSDUMMYFUNCTION(IF(A2343="","",CONCATENATE("https://us.pandora.net/on/demandware.static/-/Sites-pandora-master-catalog/default/dwbb259ca6/productimages/singlepackshot/",LEFT(A2343,FIND("-",A2343&amp;"-")-1),"_RGB.png"))),"https://us.pandora.net/on/demandware.static/-/Sites-pandora-master-catalog/default/dwbb259ca6/productimages/singlepackshot/581469C02_RGB.png")</f>
        <v>https://us.pandora.net/on/demandware.static/-/Sites-pandora-master-catalog/default/dwbb259ca6/productimages/singlepackshot/581469C02_RGB.png</v>
      </c>
    </row>
    <row r="2344" spans="1:4" x14ac:dyDescent="0.25">
      <c r="A2344" s="3" t="s">
        <v>2346</v>
      </c>
      <c r="B2344" s="4">
        <v>179</v>
      </c>
      <c r="C2344" s="3" t="str">
        <f ca="1">IFERROR(ROWSDUMMYFUNCTION(IF(A2344="","",IFERROR(IMAGE(CONCATENATE("https://us.pandora.net/on/demandware.static/-/Sites-pandora-master-catalog/default/dwbb259ca6/productimages/singlepackshot/",LEFT(A2344,FIND("-",A2344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44" s="5" t="str">
        <f ca="1">IFERROR(ROWSDUMMYFUNCTION(IF(A2344="","",CONCATENATE("https://us.pandora.net/on/demandware.static/-/Sites-pandora-master-catalog/default/dwbb259ca6/productimages/singlepackshot/",LEFT(A2344,FIND("-",A2344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45" spans="1:4" x14ac:dyDescent="0.25">
      <c r="A2345" s="3" t="s">
        <v>2347</v>
      </c>
      <c r="B2345" s="4">
        <v>179</v>
      </c>
      <c r="C2345" s="3" t="str">
        <f ca="1">IFERROR(ROWSDUMMYFUNCTION(IF(A2345="","",IFERROR(IMAGE(CONCATENATE("https://us.pandora.net/on/demandware.static/-/Sites-pandora-master-catalog/default/dwbb259ca6/productimages/singlepackshot/",LEFT(A2345,FIND("-",A2345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45" s="5" t="str">
        <f ca="1">IFERROR(ROWSDUMMYFUNCTION(IF(A2345="","",CONCATENATE("https://us.pandora.net/on/demandware.static/-/Sites-pandora-master-catalog/default/dwbb259ca6/productimages/singlepackshot/",LEFT(A2345,FIND("-",A2345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46" spans="1:4" x14ac:dyDescent="0.25">
      <c r="A2346" s="3" t="s">
        <v>2348</v>
      </c>
      <c r="B2346" s="4">
        <v>179</v>
      </c>
      <c r="C2346" s="3" t="str">
        <f ca="1">IFERROR(ROWSDUMMYFUNCTION(IF(A2346="","",IFERROR(IMAGE(CONCATENATE("https://us.pandora.net/on/demandware.static/-/Sites-pandora-master-catalog/default/dwbb259ca6/productimages/singlepackshot/",LEFT(A2346,FIND("-",A2346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46" s="5" t="str">
        <f ca="1">IFERROR(ROWSDUMMYFUNCTION(IF(A2346="","",CONCATENATE("https://us.pandora.net/on/demandware.static/-/Sites-pandora-master-catalog/default/dwbb259ca6/productimages/singlepackshot/",LEFT(A2346,FIND("-",A2346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47" spans="1:4" x14ac:dyDescent="0.25">
      <c r="A2347" s="3" t="s">
        <v>2349</v>
      </c>
      <c r="B2347" s="4">
        <v>179</v>
      </c>
      <c r="C2347" s="3" t="str">
        <f ca="1">IFERROR(ROWSDUMMYFUNCTION(IF(A2347="","",IFERROR(IMAGE(CONCATENATE("https://us.pandora.net/on/demandware.static/-/Sites-pandora-master-catalog/default/dwbb259ca6/productimages/singlepackshot/",LEFT(A2347,FIND("-",A2347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47" s="5" t="str">
        <f ca="1">IFERROR(ROWSDUMMYFUNCTION(IF(A2347="","",CONCATENATE("https://us.pandora.net/on/demandware.static/-/Sites-pandora-master-catalog/default/dwbb259ca6/productimages/singlepackshot/",LEFT(A2347,FIND("-",A2347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48" spans="1:4" x14ac:dyDescent="0.25">
      <c r="A2348" s="3" t="s">
        <v>2350</v>
      </c>
      <c r="B2348" s="4">
        <v>179</v>
      </c>
      <c r="C2348" s="3" t="str">
        <f ca="1">IFERROR(ROWSDUMMYFUNCTION(IF(A2348="","",IFERROR(IMAGE(CONCATENATE("https://us.pandora.net/on/demandware.static/-/Sites-pandora-master-catalog/default/dwbb259ca6/productimages/singlepackshot/",LEFT(A2348,FIND("-",A2348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48" s="5" t="str">
        <f ca="1">IFERROR(ROWSDUMMYFUNCTION(IF(A2348="","",CONCATENATE("https://us.pandora.net/on/demandware.static/-/Sites-pandora-master-catalog/default/dwbb259ca6/productimages/singlepackshot/",LEFT(A2348,FIND("-",A2348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49" spans="1:4" x14ac:dyDescent="0.25">
      <c r="A2349" s="3" t="s">
        <v>2351</v>
      </c>
      <c r="B2349" s="4">
        <v>179</v>
      </c>
      <c r="C2349" s="3" t="str">
        <f ca="1">IFERROR(ROWSDUMMYFUNCTION(IF(A2349="","",IFERROR(IMAGE(CONCATENATE("https://us.pandora.net/on/demandware.static/-/Sites-pandora-master-catalog/default/dwbb259ca6/productimages/singlepackshot/",LEFT(A2349,FIND("-",A2349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49" s="5" t="str">
        <f ca="1">IFERROR(ROWSDUMMYFUNCTION(IF(A2349="","",CONCATENATE("https://us.pandora.net/on/demandware.static/-/Sites-pandora-master-catalog/default/dwbb259ca6/productimages/singlepackshot/",LEFT(A2349,FIND("-",A2349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50" spans="1:4" x14ac:dyDescent="0.25">
      <c r="A2350" s="3" t="s">
        <v>2352</v>
      </c>
      <c r="B2350" s="4">
        <v>179</v>
      </c>
      <c r="C2350" s="3" t="str">
        <f ca="1">IFERROR(ROWSDUMMYFUNCTION(IF(A2350="","",IFERROR(IMAGE(CONCATENATE("https://us.pandora.net/on/demandware.static/-/Sites-pandora-master-catalog/default/dwbb259ca6/productimages/singlepackshot/",LEFT(A2350,FIND("-",A2350&amp;"-")-1),"_RGB.png")),""))),"{""url"":""https://us.pandora.net/on/demandware.static/-/Sites-pandora-master-catalog/default/dwbb259ca6/productimages/singlepackshot/582257C00_RGB.png"",""mode"":1}")</f>
        <v>{"url":"https://us.pandora.net/on/demandware.static/-/Sites-pandora-master-catalog/default/dwbb259ca6/productimages/singlepackshot/582257C00_RGB.png","mode":1}</v>
      </c>
      <c r="D2350" s="5" t="str">
        <f ca="1">IFERROR(ROWSDUMMYFUNCTION(IF(A2350="","",CONCATENATE("https://us.pandora.net/on/demandware.static/-/Sites-pandora-master-catalog/default/dwbb259ca6/productimages/singlepackshot/",LEFT(A2350,FIND("-",A2350&amp;"-")-1),"_RGB.png"))),"https://us.pandora.net/on/demandware.static/-/Sites-pandora-master-catalog/default/dwbb259ca6/productimages/singlepackshot/582257C00_RGB.png")</f>
        <v>https://us.pandora.net/on/demandware.static/-/Sites-pandora-master-catalog/default/dwbb259ca6/productimages/singlepackshot/582257C00_RGB.png</v>
      </c>
    </row>
    <row r="2351" spans="1:4" x14ac:dyDescent="0.25">
      <c r="A2351" s="3" t="s">
        <v>2353</v>
      </c>
      <c r="B2351" s="4">
        <v>169</v>
      </c>
      <c r="C2351" s="3" t="str">
        <f ca="1">IFERROR(ROWSDUMMYFUNCTION(IF(A2351="","",IFERROR(IMAGE(CONCATENATE("https://us.pandora.net/on/demandware.static/-/Sites-pandora-master-catalog/default/dwbb259ca6/productimages/singlepackshot/",LEFT(A2351,FIND("-",A2351&amp;"-")-1),"_RGB.png")),""))),"{""url"":""https://us.pandora.net/on/demandware.static/-/Sites-pandora-master-catalog/default/dwbb259ca6/productimages/singlepackshot/582731C00_RGB.png"",""mode"":1}")</f>
        <v>{"url":"https://us.pandora.net/on/demandware.static/-/Sites-pandora-master-catalog/default/dwbb259ca6/productimages/singlepackshot/582731C00_RGB.png","mode":1}</v>
      </c>
      <c r="D2351" s="5" t="str">
        <f ca="1">IFERROR(ROWSDUMMYFUNCTION(IF(A2351="","",CONCATENATE("https://us.pandora.net/on/demandware.static/-/Sites-pandora-master-catalog/default/dwbb259ca6/productimages/singlepackshot/",LEFT(A2351,FIND("-",A2351&amp;"-")-1),"_RGB.png"))),"https://us.pandora.net/on/demandware.static/-/Sites-pandora-master-catalog/default/dwbb259ca6/productimages/singlepackshot/582731C00_RGB.png")</f>
        <v>https://us.pandora.net/on/demandware.static/-/Sites-pandora-master-catalog/default/dwbb259ca6/productimages/singlepackshot/582731C00_RGB.png</v>
      </c>
    </row>
    <row r="2352" spans="1:4" x14ac:dyDescent="0.25">
      <c r="A2352" s="3" t="s">
        <v>2354</v>
      </c>
      <c r="B2352" s="4">
        <v>169</v>
      </c>
      <c r="C2352" s="3" t="str">
        <f ca="1">IFERROR(ROWSDUMMYFUNCTION(IF(A2352="","",IFERROR(IMAGE(CONCATENATE("https://us.pandora.net/on/demandware.static/-/Sites-pandora-master-catalog/default/dwbb259ca6/productimages/singlepackshot/",LEFT(A2352,FIND("-",A2352&amp;"-")-1),"_RGB.png")),""))),"{""url"":""https://us.pandora.net/on/demandware.static/-/Sites-pandora-master-catalog/default/dwbb259ca6/productimages/singlepackshot/582731C00_RGB.png"",""mode"":1}")</f>
        <v>{"url":"https://us.pandora.net/on/demandware.static/-/Sites-pandora-master-catalog/default/dwbb259ca6/productimages/singlepackshot/582731C00_RGB.png","mode":1}</v>
      </c>
      <c r="D2352" s="5" t="str">
        <f ca="1">IFERROR(ROWSDUMMYFUNCTION(IF(A2352="","",CONCATENATE("https://us.pandora.net/on/demandware.static/-/Sites-pandora-master-catalog/default/dwbb259ca6/productimages/singlepackshot/",LEFT(A2352,FIND("-",A2352&amp;"-")-1),"_RGB.png"))),"https://us.pandora.net/on/demandware.static/-/Sites-pandora-master-catalog/default/dwbb259ca6/productimages/singlepackshot/582731C00_RGB.png")</f>
        <v>https://us.pandora.net/on/demandware.static/-/Sites-pandora-master-catalog/default/dwbb259ca6/productimages/singlepackshot/582731C00_RGB.png</v>
      </c>
    </row>
    <row r="2353" spans="1:4" x14ac:dyDescent="0.25">
      <c r="A2353" s="3" t="s">
        <v>2355</v>
      </c>
      <c r="B2353" s="4">
        <v>169</v>
      </c>
      <c r="C2353" s="3" t="str">
        <f ca="1">IFERROR(ROWSDUMMYFUNCTION(IF(A2353="","",IFERROR(IMAGE(CONCATENATE("https://us.pandora.net/on/demandware.static/-/Sites-pandora-master-catalog/default/dwbb259ca6/productimages/singlepackshot/",LEFT(A2353,FIND("-",A2353&amp;"-")-1),"_RGB.png")),""))),"{""url"":""https://us.pandora.net/on/demandware.static/-/Sites-pandora-master-catalog/default/dwbb259ca6/productimages/singlepackshot/582731C00_RGB.png"",""mode"":1}")</f>
        <v>{"url":"https://us.pandora.net/on/demandware.static/-/Sites-pandora-master-catalog/default/dwbb259ca6/productimages/singlepackshot/582731C00_RGB.png","mode":1}</v>
      </c>
      <c r="D2353" s="5" t="str">
        <f ca="1">IFERROR(ROWSDUMMYFUNCTION(IF(A2353="","",CONCATENATE("https://us.pandora.net/on/demandware.static/-/Sites-pandora-master-catalog/default/dwbb259ca6/productimages/singlepackshot/",LEFT(A2353,FIND("-",A2353&amp;"-")-1),"_RGB.png"))),"https://us.pandora.net/on/demandware.static/-/Sites-pandora-master-catalog/default/dwbb259ca6/productimages/singlepackshot/582731C00_RGB.png")</f>
        <v>https://us.pandora.net/on/demandware.static/-/Sites-pandora-master-catalog/default/dwbb259ca6/productimages/singlepackshot/582731C00_RGB.png</v>
      </c>
    </row>
    <row r="2354" spans="1:4" x14ac:dyDescent="0.25">
      <c r="A2354" s="3" t="s">
        <v>2356</v>
      </c>
      <c r="B2354" s="4">
        <v>169</v>
      </c>
      <c r="C2354" s="3" t="str">
        <f ca="1">IFERROR(ROWSDUMMYFUNCTION(IF(A2354="","",IFERROR(IMAGE(CONCATENATE("https://us.pandora.net/on/demandware.static/-/Sites-pandora-master-catalog/default/dwbb259ca6/productimages/singlepackshot/",LEFT(A2354,FIND("-",A2354&amp;"-")-1),"_RGB.png")),""))),"{""url"":""https://us.pandora.net/on/demandware.static/-/Sites-pandora-master-catalog/default/dwbb259ca6/productimages/singlepackshot/582731C00_RGB.png"",""mode"":1}")</f>
        <v>{"url":"https://us.pandora.net/on/demandware.static/-/Sites-pandora-master-catalog/default/dwbb259ca6/productimages/singlepackshot/582731C00_RGB.png","mode":1}</v>
      </c>
      <c r="D2354" s="5" t="str">
        <f ca="1">IFERROR(ROWSDUMMYFUNCTION(IF(A2354="","",CONCATENATE("https://us.pandora.net/on/demandware.static/-/Sites-pandora-master-catalog/default/dwbb259ca6/productimages/singlepackshot/",LEFT(A2354,FIND("-",A2354&amp;"-")-1),"_RGB.png"))),"https://us.pandora.net/on/demandware.static/-/Sites-pandora-master-catalog/default/dwbb259ca6/productimages/singlepackshot/582731C00_RGB.png")</f>
        <v>https://us.pandora.net/on/demandware.static/-/Sites-pandora-master-catalog/default/dwbb259ca6/productimages/singlepackshot/582731C00_RGB.png</v>
      </c>
    </row>
    <row r="2355" spans="1:4" x14ac:dyDescent="0.25">
      <c r="A2355" s="3" t="s">
        <v>2357</v>
      </c>
      <c r="B2355" s="4">
        <v>169</v>
      </c>
      <c r="C2355" s="3" t="str">
        <f ca="1">IFERROR(ROWSDUMMYFUNCTION(IF(A2355="","",IFERROR(IMAGE(CONCATENATE("https://us.pandora.net/on/demandware.static/-/Sites-pandora-master-catalog/default/dwbb259ca6/productimages/singlepackshot/",LEFT(A2355,FIND("-",A2355&amp;"-")-1),"_RGB.png")),""))),"{""url"":""https://us.pandora.net/on/demandware.static/-/Sites-pandora-master-catalog/default/dwbb259ca6/productimages/singlepackshot/582731C00_RGB.png"",""mode"":1}")</f>
        <v>{"url":"https://us.pandora.net/on/demandware.static/-/Sites-pandora-master-catalog/default/dwbb259ca6/productimages/singlepackshot/582731C00_RGB.png","mode":1}</v>
      </c>
      <c r="D2355" s="5" t="str">
        <f ca="1">IFERROR(ROWSDUMMYFUNCTION(IF(A2355="","",CONCATENATE("https://us.pandora.net/on/demandware.static/-/Sites-pandora-master-catalog/default/dwbb259ca6/productimages/singlepackshot/",LEFT(A2355,FIND("-",A2355&amp;"-")-1),"_RGB.png"))),"https://us.pandora.net/on/demandware.static/-/Sites-pandora-master-catalog/default/dwbb259ca6/productimages/singlepackshot/582731C00_RGB.png")</f>
        <v>https://us.pandora.net/on/demandware.static/-/Sites-pandora-master-catalog/default/dwbb259ca6/productimages/singlepackshot/582731C00_RGB.png</v>
      </c>
    </row>
    <row r="2356" spans="1:4" x14ac:dyDescent="0.25">
      <c r="A2356" s="3" t="s">
        <v>2358</v>
      </c>
      <c r="B2356" s="4">
        <v>169</v>
      </c>
      <c r="C2356" s="3" t="str">
        <f ca="1">IFERROR(ROWSDUMMYFUNCTION(IF(A2356="","",IFERROR(IMAGE(CONCATENATE("https://us.pandora.net/on/demandware.static/-/Sites-pandora-master-catalog/default/dwbb259ca6/productimages/singlepackshot/",LEFT(A2356,FIND("-",A2356&amp;"-")-1),"_RGB.png")),""))),"{""url"":""https://us.pandora.net/on/demandware.static/-/Sites-pandora-master-catalog/default/dwbb259ca6/productimages/singlepackshot/582731C00_RGB.png"",""mode"":1}")</f>
        <v>{"url":"https://us.pandora.net/on/demandware.static/-/Sites-pandora-master-catalog/default/dwbb259ca6/productimages/singlepackshot/582731C00_RGB.png","mode":1}</v>
      </c>
      <c r="D2356" s="5" t="str">
        <f ca="1">IFERROR(ROWSDUMMYFUNCTION(IF(A2356="","",CONCATENATE("https://us.pandora.net/on/demandware.static/-/Sites-pandora-master-catalog/default/dwbb259ca6/productimages/singlepackshot/",LEFT(A2356,FIND("-",A2356&amp;"-")-1),"_RGB.png"))),"https://us.pandora.net/on/demandware.static/-/Sites-pandora-master-catalog/default/dwbb259ca6/productimages/singlepackshot/582731C00_RGB.png")</f>
        <v>https://us.pandora.net/on/demandware.static/-/Sites-pandora-master-catalog/default/dwbb259ca6/productimages/singlepackshot/582731C00_RGB.png</v>
      </c>
    </row>
    <row r="2357" spans="1:4" x14ac:dyDescent="0.25">
      <c r="A2357" s="3" t="s">
        <v>2359</v>
      </c>
      <c r="B2357" s="4">
        <v>169</v>
      </c>
      <c r="C2357" s="3" t="str">
        <f ca="1">IFERROR(ROWSDUMMYFUNCTION(IF(A2357="","",IFERROR(IMAGE(CONCATENATE("https://us.pandora.net/on/demandware.static/-/Sites-pandora-master-catalog/default/dwbb259ca6/productimages/singlepackshot/",LEFT(A2357,FIND("-",A2357&amp;"-")-1),"_RGB.png")),""))),"{""url"":""https://us.pandora.net/on/demandware.static/-/Sites-pandora-master-catalog/default/dwbb259ca6/productimages/singlepackshot/583090C00_RGB.png"",""mode"":1}")</f>
        <v>{"url":"https://us.pandora.net/on/demandware.static/-/Sites-pandora-master-catalog/default/dwbb259ca6/productimages/singlepackshot/583090C00_RGB.png","mode":1}</v>
      </c>
      <c r="D2357" s="5" t="str">
        <f ca="1">IFERROR(ROWSDUMMYFUNCTION(IF(A2357="","",CONCATENATE("https://us.pandora.net/on/demandware.static/-/Sites-pandora-master-catalog/default/dwbb259ca6/productimages/singlepackshot/",LEFT(A2357,FIND("-",A2357&amp;"-")-1),"_RGB.png"))),"https://us.pandora.net/on/demandware.static/-/Sites-pandora-master-catalog/default/dwbb259ca6/productimages/singlepackshot/583090C00_RGB.png")</f>
        <v>https://us.pandora.net/on/demandware.static/-/Sites-pandora-master-catalog/default/dwbb259ca6/productimages/singlepackshot/583090C00_RGB.png</v>
      </c>
    </row>
    <row r="2358" spans="1:4" x14ac:dyDescent="0.25">
      <c r="A2358" s="3" t="s">
        <v>2360</v>
      </c>
      <c r="B2358" s="4">
        <v>99</v>
      </c>
      <c r="C2358" s="3" t="str">
        <f ca="1">IFERROR(ROWSDUMMYFUNCTION(IF(A2358="","",IFERROR(IMAGE(CONCATENATE("https://us.pandora.net/on/demandware.static/-/Sites-pandora-master-catalog/default/dwbb259ca6/productimages/singlepackshot/",LEFT(A2358,FIND("-",A2358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58" s="5" t="str">
        <f ca="1">IFERROR(ROWSDUMMYFUNCTION(IF(A2358="","",CONCATENATE("https://us.pandora.net/on/demandware.static/-/Sites-pandora-master-catalog/default/dwbb259ca6/productimages/singlepackshot/",LEFT(A2358,FIND("-",A2358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59" spans="1:4" x14ac:dyDescent="0.25">
      <c r="A2359" s="3" t="s">
        <v>2361</v>
      </c>
      <c r="B2359" s="4">
        <v>99</v>
      </c>
      <c r="C2359" s="3" t="str">
        <f ca="1">IFERROR(ROWSDUMMYFUNCTION(IF(A2359="","",IFERROR(IMAGE(CONCATENATE("https://us.pandora.net/on/demandware.static/-/Sites-pandora-master-catalog/default/dwbb259ca6/productimages/singlepackshot/",LEFT(A2359,FIND("-",A2359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59" s="5" t="str">
        <f ca="1">IFERROR(ROWSDUMMYFUNCTION(IF(A2359="","",CONCATENATE("https://us.pandora.net/on/demandware.static/-/Sites-pandora-master-catalog/default/dwbb259ca6/productimages/singlepackshot/",LEFT(A2359,FIND("-",A2359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60" spans="1:4" x14ac:dyDescent="0.25">
      <c r="A2360" s="3" t="s">
        <v>2362</v>
      </c>
      <c r="B2360" s="4">
        <v>99</v>
      </c>
      <c r="C2360" s="3" t="str">
        <f ca="1">IFERROR(ROWSDUMMYFUNCTION(IF(A2360="","",IFERROR(IMAGE(CONCATENATE("https://us.pandora.net/on/demandware.static/-/Sites-pandora-master-catalog/default/dwbb259ca6/productimages/singlepackshot/",LEFT(A2360,FIND("-",A2360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60" s="5" t="str">
        <f ca="1">IFERROR(ROWSDUMMYFUNCTION(IF(A2360="","",CONCATENATE("https://us.pandora.net/on/demandware.static/-/Sites-pandora-master-catalog/default/dwbb259ca6/productimages/singlepackshot/",LEFT(A2360,FIND("-",A2360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61" spans="1:4" x14ac:dyDescent="0.25">
      <c r="A2361" s="3" t="s">
        <v>2363</v>
      </c>
      <c r="B2361" s="4">
        <v>99</v>
      </c>
      <c r="C2361" s="3" t="str">
        <f ca="1">IFERROR(ROWSDUMMYFUNCTION(IF(A2361="","",IFERROR(IMAGE(CONCATENATE("https://us.pandora.net/on/demandware.static/-/Sites-pandora-master-catalog/default/dwbb259ca6/productimages/singlepackshot/",LEFT(A2361,FIND("-",A2361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61" s="5" t="str">
        <f ca="1">IFERROR(ROWSDUMMYFUNCTION(IF(A2361="","",CONCATENATE("https://us.pandora.net/on/demandware.static/-/Sites-pandora-master-catalog/default/dwbb259ca6/productimages/singlepackshot/",LEFT(A2361,FIND("-",A2361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62" spans="1:4" x14ac:dyDescent="0.25">
      <c r="A2362" s="3" t="s">
        <v>2364</v>
      </c>
      <c r="B2362" s="4">
        <v>99</v>
      </c>
      <c r="C2362" s="3" t="str">
        <f ca="1">IFERROR(ROWSDUMMYFUNCTION(IF(A2362="","",IFERROR(IMAGE(CONCATENATE("https://us.pandora.net/on/demandware.static/-/Sites-pandora-master-catalog/default/dwbb259ca6/productimages/singlepackshot/",LEFT(A2362,FIND("-",A2362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62" s="5" t="str">
        <f ca="1">IFERROR(ROWSDUMMYFUNCTION(IF(A2362="","",CONCATENATE("https://us.pandora.net/on/demandware.static/-/Sites-pandora-master-catalog/default/dwbb259ca6/productimages/singlepackshot/",LEFT(A2362,FIND("-",A2362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63" spans="1:4" x14ac:dyDescent="0.25">
      <c r="A2363" s="3" t="s">
        <v>2365</v>
      </c>
      <c r="B2363" s="4">
        <v>99</v>
      </c>
      <c r="C2363" s="3" t="str">
        <f ca="1">IFERROR(ROWSDUMMYFUNCTION(IF(A2363="","",IFERROR(IMAGE(CONCATENATE("https://us.pandora.net/on/demandware.static/-/Sites-pandora-master-catalog/default/dwbb259ca6/productimages/singlepackshot/",LEFT(A2363,FIND("-",A2363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63" s="5" t="str">
        <f ca="1">IFERROR(ROWSDUMMYFUNCTION(IF(A2363="","",CONCATENATE("https://us.pandora.net/on/demandware.static/-/Sites-pandora-master-catalog/default/dwbb259ca6/productimages/singlepackshot/",LEFT(A2363,FIND("-",A2363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64" spans="1:4" x14ac:dyDescent="0.25">
      <c r="A2364" s="3" t="s">
        <v>2366</v>
      </c>
      <c r="B2364" s="4">
        <v>99</v>
      </c>
      <c r="C2364" s="3" t="str">
        <f ca="1">IFERROR(ROWSDUMMYFUNCTION(IF(A2364="","",IFERROR(IMAGE(CONCATENATE("https://us.pandora.net/on/demandware.static/-/Sites-pandora-master-catalog/default/dwbb259ca6/productimages/singlepackshot/",LEFT(A2364,FIND("-",A2364&amp;"-")-1),"_RGB.png")),""))),"{""url"":""https://us.pandora.net/on/demandware.static/-/Sites-pandora-master-catalog/default/dwbb259ca6/productimages/singlepackshot/586292CZ_RGB.png"",""mode"":1}")</f>
        <v>{"url":"https://us.pandora.net/on/demandware.static/-/Sites-pandora-master-catalog/default/dwbb259ca6/productimages/singlepackshot/586292CZ_RGB.png","mode":1}</v>
      </c>
      <c r="D2364" s="5" t="str">
        <f ca="1">IFERROR(ROWSDUMMYFUNCTION(IF(A2364="","",CONCATENATE("https://us.pandora.net/on/demandware.static/-/Sites-pandora-master-catalog/default/dwbb259ca6/productimages/singlepackshot/",LEFT(A2364,FIND("-",A2364&amp;"-")-1),"_RGB.png"))),"https://us.pandora.net/on/demandware.static/-/Sites-pandora-master-catalog/default/dwbb259ca6/productimages/singlepackshot/586292CZ_RGB.png")</f>
        <v>https://us.pandora.net/on/demandware.static/-/Sites-pandora-master-catalog/default/dwbb259ca6/productimages/singlepackshot/586292CZ_RGB.png</v>
      </c>
    </row>
    <row r="2365" spans="1:4" x14ac:dyDescent="0.25">
      <c r="A2365" s="3" t="s">
        <v>2367</v>
      </c>
      <c r="B2365" s="4">
        <v>159</v>
      </c>
      <c r="C2365" s="3" t="str">
        <f ca="1">IFERROR(ROWSDUMMYFUNCTION(IF(A2365="","",IFERROR(IMAGE(CONCATENATE("https://us.pandora.net/on/demandware.static/-/Sites-pandora-master-catalog/default/dwbb259ca6/productimages/singlepackshot/",LEFT(A2365,FIND("-",A2365&amp;"-")-1),"_RGB.png")),""))),"{""url"":""https://us.pandora.net/on/demandware.static/-/Sites-pandora-master-catalog/default/dwbb259ca6/productimages/singlepackshot/587132_RGB.png"",""mode"":1}")</f>
        <v>{"url":"https://us.pandora.net/on/demandware.static/-/Sites-pandora-master-catalog/default/dwbb259ca6/productimages/singlepackshot/587132_RGB.png","mode":1}</v>
      </c>
      <c r="D2365" s="5" t="str">
        <f ca="1">IFERROR(ROWSDUMMYFUNCTION(IF(A2365="","",CONCATENATE("https://us.pandora.net/on/demandware.static/-/Sites-pandora-master-catalog/default/dwbb259ca6/productimages/singlepackshot/",LEFT(A2365,FIND("-",A2365&amp;"-")-1),"_RGB.png"))),"https://us.pandora.net/on/demandware.static/-/Sites-pandora-master-catalog/default/dwbb259ca6/productimages/singlepackshot/587132_RGB.png")</f>
        <v>https://us.pandora.net/on/demandware.static/-/Sites-pandora-master-catalog/default/dwbb259ca6/productimages/singlepackshot/587132_RGB.png</v>
      </c>
    </row>
    <row r="2366" spans="1:4" x14ac:dyDescent="0.25">
      <c r="A2366" s="3" t="s">
        <v>2368</v>
      </c>
      <c r="B2366" s="4">
        <v>159</v>
      </c>
      <c r="C2366" s="3" t="str">
        <f ca="1">IFERROR(ROWSDUMMYFUNCTION(IF(A2366="","",IFERROR(IMAGE(CONCATENATE("https://us.pandora.net/on/demandware.static/-/Sites-pandora-master-catalog/default/dwbb259ca6/productimages/singlepackshot/",LEFT(A2366,FIND("-",A2366&amp;"-")-1),"_RGB.png")),""))),"{""url"":""https://us.pandora.net/on/demandware.static/-/Sites-pandora-master-catalog/default/dwbb259ca6/productimages/singlepackshot/587132_RGB.png"",""mode"":1}")</f>
        <v>{"url":"https://us.pandora.net/on/demandware.static/-/Sites-pandora-master-catalog/default/dwbb259ca6/productimages/singlepackshot/587132_RGB.png","mode":1}</v>
      </c>
      <c r="D2366" s="5" t="str">
        <f ca="1">IFERROR(ROWSDUMMYFUNCTION(IF(A2366="","",CONCATENATE("https://us.pandora.net/on/demandware.static/-/Sites-pandora-master-catalog/default/dwbb259ca6/productimages/singlepackshot/",LEFT(A2366,FIND("-",A2366&amp;"-")-1),"_RGB.png"))),"https://us.pandora.net/on/demandware.static/-/Sites-pandora-master-catalog/default/dwbb259ca6/productimages/singlepackshot/587132_RGB.png")</f>
        <v>https://us.pandora.net/on/demandware.static/-/Sites-pandora-master-catalog/default/dwbb259ca6/productimages/singlepackshot/587132_RGB.png</v>
      </c>
    </row>
    <row r="2367" spans="1:4" x14ac:dyDescent="0.25">
      <c r="A2367" s="3" t="s">
        <v>2369</v>
      </c>
      <c r="B2367" s="4">
        <v>159</v>
      </c>
      <c r="C2367" s="3" t="str">
        <f ca="1">IFERROR(ROWSDUMMYFUNCTION(IF(A2367="","",IFERROR(IMAGE(CONCATENATE("https://us.pandora.net/on/demandware.static/-/Sites-pandora-master-catalog/default/dwbb259ca6/productimages/singlepackshot/",LEFT(A2367,FIND("-",A2367&amp;"-")-1),"_RGB.png")),""))),"{""url"":""https://us.pandora.net/on/demandware.static/-/Sites-pandora-master-catalog/default/dwbb259ca6/productimages/singlepackshot/587132_RGB.png"",""mode"":1}")</f>
        <v>{"url":"https://us.pandora.net/on/demandware.static/-/Sites-pandora-master-catalog/default/dwbb259ca6/productimages/singlepackshot/587132_RGB.png","mode":1}</v>
      </c>
      <c r="D2367" s="5" t="str">
        <f ca="1">IFERROR(ROWSDUMMYFUNCTION(IF(A2367="","",CONCATENATE("https://us.pandora.net/on/demandware.static/-/Sites-pandora-master-catalog/default/dwbb259ca6/productimages/singlepackshot/",LEFT(A2367,FIND("-",A2367&amp;"-")-1),"_RGB.png"))),"https://us.pandora.net/on/demandware.static/-/Sites-pandora-master-catalog/default/dwbb259ca6/productimages/singlepackshot/587132_RGB.png")</f>
        <v>https://us.pandora.net/on/demandware.static/-/Sites-pandora-master-catalog/default/dwbb259ca6/productimages/singlepackshot/587132_RGB.png</v>
      </c>
    </row>
    <row r="2368" spans="1:4" x14ac:dyDescent="0.25">
      <c r="A2368" s="3" t="s">
        <v>2370</v>
      </c>
      <c r="B2368" s="4">
        <v>179</v>
      </c>
      <c r="C2368" s="3" t="str">
        <f ca="1">IFERROR(ROWSDUMMYFUNCTION(IF(A2368="","",IFERROR(IMAGE(CONCATENATE("https://us.pandora.net/on/demandware.static/-/Sites-pandora-master-catalog/default/dwbb259ca6/productimages/singlepackshot/",LEFT(A2368,FIND("-",A2368&amp;"-")-1),"_RGB.png")),""))),"{""url"":""https://us.pandora.net/on/demandware.static/-/Sites-pandora-master-catalog/default/dwbb259ca6/productimages/singlepackshot/588342CZ_RGB.png"",""mode"":1}")</f>
        <v>{"url":"https://us.pandora.net/on/demandware.static/-/Sites-pandora-master-catalog/default/dwbb259ca6/productimages/singlepackshot/588342CZ_RGB.png","mode":1}</v>
      </c>
      <c r="D2368" s="5" t="str">
        <f ca="1">IFERROR(ROWSDUMMYFUNCTION(IF(A2368="","",CONCATENATE("https://us.pandora.net/on/demandware.static/-/Sites-pandora-master-catalog/default/dwbb259ca6/productimages/singlepackshot/",LEFT(A2368,FIND("-",A2368&amp;"-")-1),"_RGB.png"))),"https://us.pandora.net/on/demandware.static/-/Sites-pandora-master-catalog/default/dwbb259ca6/productimages/singlepackshot/588342CZ_RGB.png")</f>
        <v>https://us.pandora.net/on/demandware.static/-/Sites-pandora-master-catalog/default/dwbb259ca6/productimages/singlepackshot/588342CZ_RGB.png</v>
      </c>
    </row>
    <row r="2369" spans="1:4" x14ac:dyDescent="0.25">
      <c r="A2369" s="3" t="s">
        <v>2371</v>
      </c>
      <c r="B2369" s="4">
        <v>179</v>
      </c>
      <c r="C2369" s="3" t="str">
        <f ca="1">IFERROR(ROWSDUMMYFUNCTION(IF(A2369="","",IFERROR(IMAGE(CONCATENATE("https://us.pandora.net/on/demandware.static/-/Sites-pandora-master-catalog/default/dwbb259ca6/productimages/singlepackshot/",LEFT(A2369,FIND("-",A2369&amp;"-")-1),"_RGB.png")),""))),"{""url"":""https://us.pandora.net/on/demandware.static/-/Sites-pandora-master-catalog/default/dwbb259ca6/productimages/singlepackshot/588342CZ_RGB.png"",""mode"":1}")</f>
        <v>{"url":"https://us.pandora.net/on/demandware.static/-/Sites-pandora-master-catalog/default/dwbb259ca6/productimages/singlepackshot/588342CZ_RGB.png","mode":1}</v>
      </c>
      <c r="D2369" s="5" t="str">
        <f ca="1">IFERROR(ROWSDUMMYFUNCTION(IF(A2369="","",CONCATENATE("https://us.pandora.net/on/demandware.static/-/Sites-pandora-master-catalog/default/dwbb259ca6/productimages/singlepackshot/",LEFT(A2369,FIND("-",A2369&amp;"-")-1),"_RGB.png"))),"https://us.pandora.net/on/demandware.static/-/Sites-pandora-master-catalog/default/dwbb259ca6/productimages/singlepackshot/588342CZ_RGB.png")</f>
        <v>https://us.pandora.net/on/demandware.static/-/Sites-pandora-master-catalog/default/dwbb259ca6/productimages/singlepackshot/588342CZ_RGB.png</v>
      </c>
    </row>
    <row r="2370" spans="1:4" x14ac:dyDescent="0.25">
      <c r="A2370" s="3" t="s">
        <v>2372</v>
      </c>
      <c r="B2370" s="4">
        <v>179</v>
      </c>
      <c r="C2370" s="3" t="str">
        <f ca="1">IFERROR(ROWSDUMMYFUNCTION(IF(A2370="","",IFERROR(IMAGE(CONCATENATE("https://us.pandora.net/on/demandware.static/-/Sites-pandora-master-catalog/default/dwbb259ca6/productimages/singlepackshot/",LEFT(A2370,FIND("-",A2370&amp;"-")-1),"_RGB.png")),""))),"{""url"":""https://us.pandora.net/on/demandware.static/-/Sites-pandora-master-catalog/default/dwbb259ca6/productimages/singlepackshot/588342CZ_RGB.png"",""mode"":1}")</f>
        <v>{"url":"https://us.pandora.net/on/demandware.static/-/Sites-pandora-master-catalog/default/dwbb259ca6/productimages/singlepackshot/588342CZ_RGB.png","mode":1}</v>
      </c>
      <c r="D2370" s="5" t="str">
        <f ca="1">IFERROR(ROWSDUMMYFUNCTION(IF(A2370="","",CONCATENATE("https://us.pandora.net/on/demandware.static/-/Sites-pandora-master-catalog/default/dwbb259ca6/productimages/singlepackshot/",LEFT(A2370,FIND("-",A2370&amp;"-")-1),"_RGB.png"))),"https://us.pandora.net/on/demandware.static/-/Sites-pandora-master-catalog/default/dwbb259ca6/productimages/singlepackshot/588342CZ_RGB.png")</f>
        <v>https://us.pandora.net/on/demandware.static/-/Sites-pandora-master-catalog/default/dwbb259ca6/productimages/singlepackshot/588342CZ_RGB.png</v>
      </c>
    </row>
    <row r="2371" spans="1:4" x14ac:dyDescent="0.25">
      <c r="A2371" s="3" t="s">
        <v>2373</v>
      </c>
      <c r="B2371" s="4">
        <v>179</v>
      </c>
      <c r="C2371" s="3" t="str">
        <f ca="1">IFERROR(ROWSDUMMYFUNCTION(IF(A2371="","",IFERROR(IMAGE(CONCATENATE("https://us.pandora.net/on/demandware.static/-/Sites-pandora-master-catalog/default/dwbb259ca6/productimages/singlepackshot/",LEFT(A2371,FIND("-",A2371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1" s="5" t="str">
        <f ca="1">IFERROR(ROWSDUMMYFUNCTION(IF(A2371="","",CONCATENATE("https://us.pandora.net/on/demandware.static/-/Sites-pandora-master-catalog/default/dwbb259ca6/productimages/singlepackshot/",LEFT(A2371,FIND("-",A2371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2" spans="1:4" x14ac:dyDescent="0.25">
      <c r="A2372" s="3" t="s">
        <v>2374</v>
      </c>
      <c r="B2372" s="4">
        <v>179</v>
      </c>
      <c r="C2372" s="3" t="str">
        <f ca="1">IFERROR(ROWSDUMMYFUNCTION(IF(A2372="","",IFERROR(IMAGE(CONCATENATE("https://us.pandora.net/on/demandware.static/-/Sites-pandora-master-catalog/default/dwbb259ca6/productimages/singlepackshot/",LEFT(A2372,FIND("-",A2372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2" s="5" t="str">
        <f ca="1">IFERROR(ROWSDUMMYFUNCTION(IF(A2372="","",CONCATENATE("https://us.pandora.net/on/demandware.static/-/Sites-pandora-master-catalog/default/dwbb259ca6/productimages/singlepackshot/",LEFT(A2372,FIND("-",A2372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3" spans="1:4" x14ac:dyDescent="0.25">
      <c r="A2373" s="3" t="s">
        <v>2375</v>
      </c>
      <c r="B2373" s="4">
        <v>179</v>
      </c>
      <c r="C2373" s="3" t="str">
        <f ca="1">IFERROR(ROWSDUMMYFUNCTION(IF(A2373="","",IFERROR(IMAGE(CONCATENATE("https://us.pandora.net/on/demandware.static/-/Sites-pandora-master-catalog/default/dwbb259ca6/productimages/singlepackshot/",LEFT(A2373,FIND("-",A2373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3" s="5" t="str">
        <f ca="1">IFERROR(ROWSDUMMYFUNCTION(IF(A2373="","",CONCATENATE("https://us.pandora.net/on/demandware.static/-/Sites-pandora-master-catalog/default/dwbb259ca6/productimages/singlepackshot/",LEFT(A2373,FIND("-",A2373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4" spans="1:4" x14ac:dyDescent="0.25">
      <c r="A2374" s="3" t="s">
        <v>2376</v>
      </c>
      <c r="B2374" s="4">
        <v>179</v>
      </c>
      <c r="C2374" s="3" t="str">
        <f ca="1">IFERROR(ROWSDUMMYFUNCTION(IF(A2374="","",IFERROR(IMAGE(CONCATENATE("https://us.pandora.net/on/demandware.static/-/Sites-pandora-master-catalog/default/dwbb259ca6/productimages/singlepackshot/",LEFT(A2374,FIND("-",A2374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4" s="5" t="str">
        <f ca="1">IFERROR(ROWSDUMMYFUNCTION(IF(A2374="","",CONCATENATE("https://us.pandora.net/on/demandware.static/-/Sites-pandora-master-catalog/default/dwbb259ca6/productimages/singlepackshot/",LEFT(A2374,FIND("-",A2374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5" spans="1:4" x14ac:dyDescent="0.25">
      <c r="A2375" s="3" t="s">
        <v>2377</v>
      </c>
      <c r="B2375" s="4">
        <v>179</v>
      </c>
      <c r="C2375" s="3" t="str">
        <f ca="1">IFERROR(ROWSDUMMYFUNCTION(IF(A2375="","",IFERROR(IMAGE(CONCATENATE("https://us.pandora.net/on/demandware.static/-/Sites-pandora-master-catalog/default/dwbb259ca6/productimages/singlepackshot/",LEFT(A2375,FIND("-",A2375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5" s="5" t="str">
        <f ca="1">IFERROR(ROWSDUMMYFUNCTION(IF(A2375="","",CONCATENATE("https://us.pandora.net/on/demandware.static/-/Sites-pandora-master-catalog/default/dwbb259ca6/productimages/singlepackshot/",LEFT(A2375,FIND("-",A2375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6" spans="1:4" x14ac:dyDescent="0.25">
      <c r="A2376" s="3" t="s">
        <v>2378</v>
      </c>
      <c r="B2376" s="4">
        <v>179</v>
      </c>
      <c r="C2376" s="3" t="str">
        <f ca="1">IFERROR(ROWSDUMMYFUNCTION(IF(A2376="","",IFERROR(IMAGE(CONCATENATE("https://us.pandora.net/on/demandware.static/-/Sites-pandora-master-catalog/default/dwbb259ca6/productimages/singlepackshot/",LEFT(A2376,FIND("-",A2376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6" s="5" t="str">
        <f ca="1">IFERROR(ROWSDUMMYFUNCTION(IF(A2376="","",CONCATENATE("https://us.pandora.net/on/demandware.static/-/Sites-pandora-master-catalog/default/dwbb259ca6/productimages/singlepackshot/",LEFT(A2376,FIND("-",A2376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7" spans="1:4" x14ac:dyDescent="0.25">
      <c r="A2377" s="3" t="s">
        <v>2379</v>
      </c>
      <c r="B2377" s="4">
        <v>179</v>
      </c>
      <c r="C2377" s="3" t="str">
        <f ca="1">IFERROR(ROWSDUMMYFUNCTION(IF(A2377="","",IFERROR(IMAGE(CONCATENATE("https://us.pandora.net/on/demandware.static/-/Sites-pandora-master-catalog/default/dwbb259ca6/productimages/singlepackshot/",LEFT(A2377,FIND("-",A2377&amp;"-")-1),"_RGB.png")),""))),"{""url"":""https://us.pandora.net/on/demandware.static/-/Sites-pandora-master-catalog/default/dwbb259ca6/productimages/singlepackshot/589046C01_RGB.png"",""mode"":1}")</f>
        <v>{"url":"https://us.pandora.net/on/demandware.static/-/Sites-pandora-master-catalog/default/dwbb259ca6/productimages/singlepackshot/589046C01_RGB.png","mode":1}</v>
      </c>
      <c r="D2377" s="5" t="str">
        <f ca="1">IFERROR(ROWSDUMMYFUNCTION(IF(A2377="","",CONCATENATE("https://us.pandora.net/on/demandware.static/-/Sites-pandora-master-catalog/default/dwbb259ca6/productimages/singlepackshot/",LEFT(A2377,FIND("-",A2377&amp;"-")-1),"_RGB.png"))),"https://us.pandora.net/on/demandware.static/-/Sites-pandora-master-catalog/default/dwbb259ca6/productimages/singlepackshot/589046C01_RGB.png")</f>
        <v>https://us.pandora.net/on/demandware.static/-/Sites-pandora-master-catalog/default/dwbb259ca6/productimages/singlepackshot/589046C01_RGB.png</v>
      </c>
    </row>
    <row r="2378" spans="1:4" x14ac:dyDescent="0.25">
      <c r="A2378" s="3" t="s">
        <v>2380</v>
      </c>
      <c r="B2378" s="4">
        <v>139</v>
      </c>
      <c r="C2378" s="3" t="str">
        <f ca="1">IFERROR(ROWSDUMMYFUNCTION(IF(A2378="","",IFERROR(IMAGE(CONCATENATE("https://us.pandora.net/on/demandware.static/-/Sites-pandora-master-catalog/default/dwbb259ca6/productimages/singlepackshot/",LEFT(A2378,FIND("-",A2378&amp;"-")-1),"_RGB.png")),""))),"{""url"":""https://us.pandora.net/on/demandware.static/-/Sites-pandora-master-catalog/default/dwbb259ca6/productimages/singlepackshot/589217C01_RGB.png"",""mode"":1}")</f>
        <v>{"url":"https://us.pandora.net/on/demandware.static/-/Sites-pandora-master-catalog/default/dwbb259ca6/productimages/singlepackshot/589217C01_RGB.png","mode":1}</v>
      </c>
      <c r="D2378" s="5" t="str">
        <f ca="1">IFERROR(ROWSDUMMYFUNCTION(IF(A2378="","",CONCATENATE("https://us.pandora.net/on/demandware.static/-/Sites-pandora-master-catalog/default/dwbb259ca6/productimages/singlepackshot/",LEFT(A2378,FIND("-",A2378&amp;"-")-1),"_RGB.png"))),"https://us.pandora.net/on/demandware.static/-/Sites-pandora-master-catalog/default/dwbb259ca6/productimages/singlepackshot/589217C01_RGB.png")</f>
        <v>https://us.pandora.net/on/demandware.static/-/Sites-pandora-master-catalog/default/dwbb259ca6/productimages/singlepackshot/589217C01_RGB.png</v>
      </c>
    </row>
    <row r="2379" spans="1:4" x14ac:dyDescent="0.25">
      <c r="A2379" s="3" t="s">
        <v>2381</v>
      </c>
      <c r="B2379" s="4">
        <v>139</v>
      </c>
      <c r="C2379" s="3" t="str">
        <f ca="1">IFERROR(ROWSDUMMYFUNCTION(IF(A2379="","",IFERROR(IMAGE(CONCATENATE("https://us.pandora.net/on/demandware.static/-/Sites-pandora-master-catalog/default/dwbb259ca6/productimages/singlepackshot/",LEFT(A2379,FIND("-",A2379&amp;"-")-1),"_RGB.png")),""))),"{""url"":""https://us.pandora.net/on/demandware.static/-/Sites-pandora-master-catalog/default/dwbb259ca6/productimages/singlepackshot/589217C01_RGB.png"",""mode"":1}")</f>
        <v>{"url":"https://us.pandora.net/on/demandware.static/-/Sites-pandora-master-catalog/default/dwbb259ca6/productimages/singlepackshot/589217C01_RGB.png","mode":1}</v>
      </c>
      <c r="D2379" s="5" t="str">
        <f ca="1">IFERROR(ROWSDUMMYFUNCTION(IF(A2379="","",CONCATENATE("https://us.pandora.net/on/demandware.static/-/Sites-pandora-master-catalog/default/dwbb259ca6/productimages/singlepackshot/",LEFT(A2379,FIND("-",A2379&amp;"-")-1),"_RGB.png"))),"https://us.pandora.net/on/demandware.static/-/Sites-pandora-master-catalog/default/dwbb259ca6/productimages/singlepackshot/589217C01_RGB.png")</f>
        <v>https://us.pandora.net/on/demandware.static/-/Sites-pandora-master-catalog/default/dwbb259ca6/productimages/singlepackshot/589217C01_RGB.png</v>
      </c>
    </row>
    <row r="2380" spans="1:4" x14ac:dyDescent="0.25">
      <c r="A2380" s="3" t="s">
        <v>2382</v>
      </c>
      <c r="B2380" s="4">
        <v>139</v>
      </c>
      <c r="C2380" s="3" t="str">
        <f ca="1">IFERROR(ROWSDUMMYFUNCTION(IF(A2380="","",IFERROR(IMAGE(CONCATENATE("https://us.pandora.net/on/demandware.static/-/Sites-pandora-master-catalog/default/dwbb259ca6/productimages/singlepackshot/",LEFT(A2380,FIND("-",A2380&amp;"-")-1),"_RGB.png")),""))),"{""url"":""https://us.pandora.net/on/demandware.static/-/Sites-pandora-master-catalog/default/dwbb259ca6/productimages/singlepackshot/589217C01_RGB.png"",""mode"":1}")</f>
        <v>{"url":"https://us.pandora.net/on/demandware.static/-/Sites-pandora-master-catalog/default/dwbb259ca6/productimages/singlepackshot/589217C01_RGB.png","mode":1}</v>
      </c>
      <c r="D2380" s="5" t="str">
        <f ca="1">IFERROR(ROWSDUMMYFUNCTION(IF(A2380="","",CONCATENATE("https://us.pandora.net/on/demandware.static/-/Sites-pandora-master-catalog/default/dwbb259ca6/productimages/singlepackshot/",LEFT(A2380,FIND("-",A2380&amp;"-")-1),"_RGB.png"))),"https://us.pandora.net/on/demandware.static/-/Sites-pandora-master-catalog/default/dwbb259ca6/productimages/singlepackshot/589217C01_RGB.png")</f>
        <v>https://us.pandora.net/on/demandware.static/-/Sites-pandora-master-catalog/default/dwbb259ca6/productimages/singlepackshot/589217C01_RGB.png</v>
      </c>
    </row>
    <row r="2381" spans="1:4" x14ac:dyDescent="0.25">
      <c r="A2381" s="3" t="s">
        <v>2383</v>
      </c>
      <c r="B2381" s="4">
        <v>169</v>
      </c>
      <c r="C2381" s="3" t="str">
        <f ca="1">IFERROR(ROWSDUMMYFUNCTION(IF(A2381="","",IFERROR(IMAGE(CONCATENATE("https://us.pandora.net/on/demandware.static/-/Sites-pandora-master-catalog/default/dwbb259ca6/productimages/singlepackshot/",LEFT(A2381,FIND("-",A2381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1" s="5" t="str">
        <f ca="1">IFERROR(ROWSDUMMYFUNCTION(IF(A2381="","",CONCATENATE("https://us.pandora.net/on/demandware.static/-/Sites-pandora-master-catalog/default/dwbb259ca6/productimages/singlepackshot/",LEFT(A2381,FIND("-",A2381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2" spans="1:4" x14ac:dyDescent="0.25">
      <c r="A2382" s="3" t="s">
        <v>2384</v>
      </c>
      <c r="B2382" s="4">
        <v>169</v>
      </c>
      <c r="C2382" s="3" t="str">
        <f ca="1">IFERROR(ROWSDUMMYFUNCTION(IF(A2382="","",IFERROR(IMAGE(CONCATENATE("https://us.pandora.net/on/demandware.static/-/Sites-pandora-master-catalog/default/dwbb259ca6/productimages/singlepackshot/",LEFT(A2382,FIND("-",A2382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2" s="5" t="str">
        <f ca="1">IFERROR(ROWSDUMMYFUNCTION(IF(A2382="","",CONCATENATE("https://us.pandora.net/on/demandware.static/-/Sites-pandora-master-catalog/default/dwbb259ca6/productimages/singlepackshot/",LEFT(A2382,FIND("-",A2382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3" spans="1:4" x14ac:dyDescent="0.25">
      <c r="A2383" s="3" t="s">
        <v>2385</v>
      </c>
      <c r="B2383" s="4">
        <v>169</v>
      </c>
      <c r="C2383" s="3" t="str">
        <f ca="1">IFERROR(ROWSDUMMYFUNCTION(IF(A2383="","",IFERROR(IMAGE(CONCATENATE("https://us.pandora.net/on/demandware.static/-/Sites-pandora-master-catalog/default/dwbb259ca6/productimages/singlepackshot/",LEFT(A2383,FIND("-",A2383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3" s="5" t="str">
        <f ca="1">IFERROR(ROWSDUMMYFUNCTION(IF(A2383="","",CONCATENATE("https://us.pandora.net/on/demandware.static/-/Sites-pandora-master-catalog/default/dwbb259ca6/productimages/singlepackshot/",LEFT(A2383,FIND("-",A2383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4" spans="1:4" x14ac:dyDescent="0.25">
      <c r="A2384" s="3" t="s">
        <v>2386</v>
      </c>
      <c r="B2384" s="4">
        <v>169</v>
      </c>
      <c r="C2384" s="3" t="str">
        <f ca="1">IFERROR(ROWSDUMMYFUNCTION(IF(A2384="","",IFERROR(IMAGE(CONCATENATE("https://us.pandora.net/on/demandware.static/-/Sites-pandora-master-catalog/default/dwbb259ca6/productimages/singlepackshot/",LEFT(A2384,FIND("-",A2384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4" s="5" t="str">
        <f ca="1">IFERROR(ROWSDUMMYFUNCTION(IF(A2384="","",CONCATENATE("https://us.pandora.net/on/demandware.static/-/Sites-pandora-master-catalog/default/dwbb259ca6/productimages/singlepackshot/",LEFT(A2384,FIND("-",A2384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5" spans="1:4" x14ac:dyDescent="0.25">
      <c r="A2385" s="3" t="s">
        <v>2387</v>
      </c>
      <c r="B2385" s="4">
        <v>169</v>
      </c>
      <c r="C2385" s="3" t="str">
        <f ca="1">IFERROR(ROWSDUMMYFUNCTION(IF(A2385="","",IFERROR(IMAGE(CONCATENATE("https://us.pandora.net/on/demandware.static/-/Sites-pandora-master-catalog/default/dwbb259ca6/productimages/singlepackshot/",LEFT(A2385,FIND("-",A2385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5" s="5" t="str">
        <f ca="1">IFERROR(ROWSDUMMYFUNCTION(IF(A2385="","",CONCATENATE("https://us.pandora.net/on/demandware.static/-/Sites-pandora-master-catalog/default/dwbb259ca6/productimages/singlepackshot/",LEFT(A2385,FIND("-",A2385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6" spans="1:4" x14ac:dyDescent="0.25">
      <c r="A2386" s="3" t="s">
        <v>2388</v>
      </c>
      <c r="B2386" s="4">
        <v>169</v>
      </c>
      <c r="C2386" s="3" t="str">
        <f ca="1">IFERROR(ROWSDUMMYFUNCTION(IF(A2386="","",IFERROR(IMAGE(CONCATENATE("https://us.pandora.net/on/demandware.static/-/Sites-pandora-master-catalog/default/dwbb259ca6/productimages/singlepackshot/",LEFT(A2386,FIND("-",A2386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6" s="5" t="str">
        <f ca="1">IFERROR(ROWSDUMMYFUNCTION(IF(A2386="","",CONCATENATE("https://us.pandora.net/on/demandware.static/-/Sites-pandora-master-catalog/default/dwbb259ca6/productimages/singlepackshot/",LEFT(A2386,FIND("-",A2386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7" spans="1:4" x14ac:dyDescent="0.25">
      <c r="A2387" s="3" t="s">
        <v>2389</v>
      </c>
      <c r="B2387" s="4">
        <v>169</v>
      </c>
      <c r="C2387" s="3" t="str">
        <f ca="1">IFERROR(ROWSDUMMYFUNCTION(IF(A2387="","",IFERROR(IMAGE(CONCATENATE("https://us.pandora.net/on/demandware.static/-/Sites-pandora-master-catalog/default/dwbb259ca6/productimages/singlepackshot/",LEFT(A2387,FIND("-",A2387&amp;"-")-1),"_RGB.png")),""))),"{""url"":""https://us.pandora.net/on/demandware.static/-/Sites-pandora-master-catalog/default/dwbb259ca6/productimages/singlepackshot/589285C00_RGB.png"",""mode"":1}")</f>
        <v>{"url":"https://us.pandora.net/on/demandware.static/-/Sites-pandora-master-catalog/default/dwbb259ca6/productimages/singlepackshot/589285C00_RGB.png","mode":1}</v>
      </c>
      <c r="D2387" s="5" t="str">
        <f ca="1">IFERROR(ROWSDUMMYFUNCTION(IF(A2387="","",CONCATENATE("https://us.pandora.net/on/demandware.static/-/Sites-pandora-master-catalog/default/dwbb259ca6/productimages/singlepackshot/",LEFT(A2387,FIND("-",A2387&amp;"-")-1),"_RGB.png"))),"https://us.pandora.net/on/demandware.static/-/Sites-pandora-master-catalog/default/dwbb259ca6/productimages/singlepackshot/589285C00_RGB.png")</f>
        <v>https://us.pandora.net/on/demandware.static/-/Sites-pandora-master-catalog/default/dwbb259ca6/productimages/singlepackshot/589285C00_RGB.png</v>
      </c>
    </row>
    <row r="2388" spans="1:4" x14ac:dyDescent="0.25">
      <c r="A2388" s="3" t="s">
        <v>2390</v>
      </c>
      <c r="B2388" s="4">
        <v>169</v>
      </c>
      <c r="C2388" s="3" t="str">
        <f ca="1">IFERROR(ROWSDUMMYFUNCTION(IF(A2388="","",IFERROR(IMAGE(CONCATENATE("https://us.pandora.net/on/demandware.static/-/Sites-pandora-master-catalog/default/dwbb259ca6/productimages/singlepackshot/",LEFT(A2388,FIND("-",A2388&amp;"-")-1),"_RGB.png")),""))),"{""url"":""https://us.pandora.net/on/demandware.static/-/Sites-pandora-master-catalog/default/dwbb259ca6/productimages/singlepackshot/589652C01_RGB.png"",""mode"":1}")</f>
        <v>{"url":"https://us.pandora.net/on/demandware.static/-/Sites-pandora-master-catalog/default/dwbb259ca6/productimages/singlepackshot/589652C01_RGB.png","mode":1}</v>
      </c>
      <c r="D2388" s="5" t="str">
        <f ca="1">IFERROR(ROWSDUMMYFUNCTION(IF(A2388="","",CONCATENATE("https://us.pandora.net/on/demandware.static/-/Sites-pandora-master-catalog/default/dwbb259ca6/productimages/singlepackshot/",LEFT(A2388,FIND("-",A2388&amp;"-")-1),"_RGB.png"))),"https://us.pandora.net/on/demandware.static/-/Sites-pandora-master-catalog/default/dwbb259ca6/productimages/singlepackshot/589652C01_RGB.png")</f>
        <v>https://us.pandora.net/on/demandware.static/-/Sites-pandora-master-catalog/default/dwbb259ca6/productimages/singlepackshot/589652C01_RGB.png</v>
      </c>
    </row>
    <row r="2389" spans="1:4" x14ac:dyDescent="0.25">
      <c r="A2389" s="3" t="s">
        <v>2391</v>
      </c>
      <c r="B2389" s="4">
        <v>149</v>
      </c>
      <c r="C2389" s="3" t="str">
        <f ca="1">IFERROR(ROWSDUMMYFUNCTION(IF(A2389="","",IFERROR(IMAGE(CONCATENATE("https://us.pandora.net/on/demandware.static/-/Sites-pandora-master-catalog/default/dwbb259ca6/productimages/singlepackshot/",LEFT(A2389,FIND("-",A2389&amp;"-")-1),"_RGB.png")),""))),"{""url"":""https://us.pandora.net/on/demandware.static/-/Sites-pandora-master-catalog/default/dwbb259ca6/productimages/singlepackshot/589662C00_RGB.png"",""mode"":1}")</f>
        <v>{"url":"https://us.pandora.net/on/demandware.static/-/Sites-pandora-master-catalog/default/dwbb259ca6/productimages/singlepackshot/589662C00_RGB.png","mode":1}</v>
      </c>
      <c r="D2389" s="5" t="str">
        <f ca="1">IFERROR(ROWSDUMMYFUNCTION(IF(A2389="","",CONCATENATE("https://us.pandora.net/on/demandware.static/-/Sites-pandora-master-catalog/default/dwbb259ca6/productimages/singlepackshot/",LEFT(A2389,FIND("-",A2389&amp;"-")-1),"_RGB.png"))),"https://us.pandora.net/on/demandware.static/-/Sites-pandora-master-catalog/default/dwbb259ca6/productimages/singlepackshot/589662C00_RGB.png")</f>
        <v>https://us.pandora.net/on/demandware.static/-/Sites-pandora-master-catalog/default/dwbb259ca6/productimages/singlepackshot/589662C00_RGB.png</v>
      </c>
    </row>
    <row r="2390" spans="1:4" x14ac:dyDescent="0.25">
      <c r="A2390" s="3" t="s">
        <v>2392</v>
      </c>
      <c r="B2390" s="4">
        <v>149</v>
      </c>
      <c r="C2390" s="3" t="str">
        <f ca="1">IFERROR(ROWSDUMMYFUNCTION(IF(A2390="","",IFERROR(IMAGE(CONCATENATE("https://us.pandora.net/on/demandware.static/-/Sites-pandora-master-catalog/default/dwbb259ca6/productimages/singlepackshot/",LEFT(A2390,FIND("-",A2390&amp;"-")-1),"_RGB.png")),""))),"{""url"":""https://us.pandora.net/on/demandware.static/-/Sites-pandora-master-catalog/default/dwbb259ca6/productimages/singlepackshot/589662C00_RGB.png"",""mode"":1}")</f>
        <v>{"url":"https://us.pandora.net/on/demandware.static/-/Sites-pandora-master-catalog/default/dwbb259ca6/productimages/singlepackshot/589662C00_RGB.png","mode":1}</v>
      </c>
      <c r="D2390" s="5" t="str">
        <f ca="1">IFERROR(ROWSDUMMYFUNCTION(IF(A2390="","",CONCATENATE("https://us.pandora.net/on/demandware.static/-/Sites-pandora-master-catalog/default/dwbb259ca6/productimages/singlepackshot/",LEFT(A2390,FIND("-",A2390&amp;"-")-1),"_RGB.png"))),"https://us.pandora.net/on/demandware.static/-/Sites-pandora-master-catalog/default/dwbb259ca6/productimages/singlepackshot/589662C00_RGB.png")</f>
        <v>https://us.pandora.net/on/demandware.static/-/Sites-pandora-master-catalog/default/dwbb259ca6/productimages/singlepackshot/589662C00_RGB.png</v>
      </c>
    </row>
    <row r="2391" spans="1:4" x14ac:dyDescent="0.25">
      <c r="A2391" s="3" t="s">
        <v>2393</v>
      </c>
      <c r="B2391" s="4">
        <v>149</v>
      </c>
      <c r="C2391" s="3" t="str">
        <f ca="1">IFERROR(ROWSDUMMYFUNCTION(IF(A2391="","",IFERROR(IMAGE(CONCATENATE("https://us.pandora.net/on/demandware.static/-/Sites-pandora-master-catalog/default/dwbb259ca6/productimages/singlepackshot/",LEFT(A2391,FIND("-",A2391&amp;"-")-1),"_RGB.png")),""))),"{""url"":""https://us.pandora.net/on/demandware.static/-/Sites-pandora-master-catalog/default/dwbb259ca6/productimages/singlepackshot/589662C00_RGB.png"",""mode"":1}")</f>
        <v>{"url":"https://us.pandora.net/on/demandware.static/-/Sites-pandora-master-catalog/default/dwbb259ca6/productimages/singlepackshot/589662C00_RGB.png","mode":1}</v>
      </c>
      <c r="D2391" s="5" t="str">
        <f ca="1">IFERROR(ROWSDUMMYFUNCTION(IF(A2391="","",CONCATENATE("https://us.pandora.net/on/demandware.static/-/Sites-pandora-master-catalog/default/dwbb259ca6/productimages/singlepackshot/",LEFT(A2391,FIND("-",A2391&amp;"-")-1),"_RGB.png"))),"https://us.pandora.net/on/demandware.static/-/Sites-pandora-master-catalog/default/dwbb259ca6/productimages/singlepackshot/589662C00_RGB.png")</f>
        <v>https://us.pandora.net/on/demandware.static/-/Sites-pandora-master-catalog/default/dwbb259ca6/productimages/singlepackshot/589662C00_RGB.png</v>
      </c>
    </row>
    <row r="2392" spans="1:4" x14ac:dyDescent="0.25">
      <c r="A2392" s="3" t="s">
        <v>2394</v>
      </c>
      <c r="B2392" s="4">
        <v>149</v>
      </c>
      <c r="C2392" s="3" t="str">
        <f ca="1">IFERROR(ROWSDUMMYFUNCTION(IF(A2392="","",IFERROR(IMAGE(CONCATENATE("https://us.pandora.net/on/demandware.static/-/Sites-pandora-master-catalog/default/dwbb259ca6/productimages/singlepackshot/",LEFT(A2392,FIND("-",A2392&amp;"-")-1),"_RGB.png")),""))),"{""url"":""https://us.pandora.net/on/demandware.static/-/Sites-pandora-master-catalog/default/dwbb259ca6/productimages/singlepackshot/589662C00_RGB.png"",""mode"":1}")</f>
        <v>{"url":"https://us.pandora.net/on/demandware.static/-/Sites-pandora-master-catalog/default/dwbb259ca6/productimages/singlepackshot/589662C00_RGB.png","mode":1}</v>
      </c>
      <c r="D2392" s="5" t="str">
        <f ca="1">IFERROR(ROWSDUMMYFUNCTION(IF(A2392="","",CONCATENATE("https://us.pandora.net/on/demandware.static/-/Sites-pandora-master-catalog/default/dwbb259ca6/productimages/singlepackshot/",LEFT(A2392,FIND("-",A2392&amp;"-")-1),"_RGB.png"))),"https://us.pandora.net/on/demandware.static/-/Sites-pandora-master-catalog/default/dwbb259ca6/productimages/singlepackshot/589662C00_RGB.png")</f>
        <v>https://us.pandora.net/on/demandware.static/-/Sites-pandora-master-catalog/default/dwbb259ca6/productimages/singlepackshot/589662C00_RGB.png</v>
      </c>
    </row>
    <row r="2393" spans="1:4" x14ac:dyDescent="0.25">
      <c r="A2393" s="3" t="s">
        <v>2395</v>
      </c>
      <c r="B2393" s="4">
        <v>149</v>
      </c>
      <c r="C2393" s="3" t="str">
        <f ca="1">IFERROR(ROWSDUMMYFUNCTION(IF(A2393="","",IFERROR(IMAGE(CONCATENATE("https://us.pandora.net/on/demandware.static/-/Sites-pandora-master-catalog/default/dwbb259ca6/productimages/singlepackshot/",LEFT(A2393,FIND("-",A2393&amp;"-")-1),"_RGB.png")),""))),"{""url"":""https://us.pandora.net/on/demandware.static/-/Sites-pandora-master-catalog/default/dwbb259ca6/productimages/singlepackshot/589662C00_RGB.png"",""mode"":1}")</f>
        <v>{"url":"https://us.pandora.net/on/demandware.static/-/Sites-pandora-master-catalog/default/dwbb259ca6/productimages/singlepackshot/589662C00_RGB.png","mode":1}</v>
      </c>
      <c r="D2393" s="5" t="str">
        <f ca="1">IFERROR(ROWSDUMMYFUNCTION(IF(A2393="","",CONCATENATE("https://us.pandora.net/on/demandware.static/-/Sites-pandora-master-catalog/default/dwbb259ca6/productimages/singlepackshot/",LEFT(A2393,FIND("-",A2393&amp;"-")-1),"_RGB.png"))),"https://us.pandora.net/on/demandware.static/-/Sites-pandora-master-catalog/default/dwbb259ca6/productimages/singlepackshot/589662C00_RGB.png")</f>
        <v>https://us.pandora.net/on/demandware.static/-/Sites-pandora-master-catalog/default/dwbb259ca6/productimages/singlepackshot/589662C00_RGB.png</v>
      </c>
    </row>
    <row r="2394" spans="1:4" x14ac:dyDescent="0.25">
      <c r="A2394" s="3" t="s">
        <v>2396</v>
      </c>
      <c r="B2394" s="4">
        <v>79</v>
      </c>
      <c r="C2394" s="3" t="str">
        <f ca="1">IFERROR(ROWSDUMMYFUNCTION(IF(A2394="","",IFERROR(IMAGE(CONCATENATE("https://us.pandora.net/on/demandware.static/-/Sites-pandora-master-catalog/default/dwbb259ca6/productimages/singlepackshot/",LEFT(A2394,FIND("-",A2394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394" s="5" t="str">
        <f ca="1">IFERROR(ROWSDUMMYFUNCTION(IF(A2394="","",CONCATENATE("https://us.pandora.net/on/demandware.static/-/Sites-pandora-master-catalog/default/dwbb259ca6/productimages/singlepackshot/",LEFT(A2394,FIND("-",A2394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395" spans="1:4" x14ac:dyDescent="0.25">
      <c r="A2395" s="3" t="s">
        <v>2397</v>
      </c>
      <c r="B2395" s="4">
        <v>79</v>
      </c>
      <c r="C2395" s="3" t="str">
        <f ca="1">IFERROR(ROWSDUMMYFUNCTION(IF(A2395="","",IFERROR(IMAGE(CONCATENATE("https://us.pandora.net/on/demandware.static/-/Sites-pandora-master-catalog/default/dwbb259ca6/productimages/singlepackshot/",LEFT(A2395,FIND("-",A2395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395" s="5" t="str">
        <f ca="1">IFERROR(ROWSDUMMYFUNCTION(IF(A2395="","",CONCATENATE("https://us.pandora.net/on/demandware.static/-/Sites-pandora-master-catalog/default/dwbb259ca6/productimages/singlepackshot/",LEFT(A2395,FIND("-",A2395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396" spans="1:4" x14ac:dyDescent="0.25">
      <c r="A2396" s="3" t="s">
        <v>2398</v>
      </c>
      <c r="B2396" s="4">
        <v>79</v>
      </c>
      <c r="C2396" s="3" t="str">
        <f ca="1">IFERROR(ROWSDUMMYFUNCTION(IF(A2396="","",IFERROR(IMAGE(CONCATENATE("https://us.pandora.net/on/demandware.static/-/Sites-pandora-master-catalog/default/dwbb259ca6/productimages/singlepackshot/",LEFT(A2396,FIND("-",A2396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396" s="5" t="str">
        <f ca="1">IFERROR(ROWSDUMMYFUNCTION(IF(A2396="","",CONCATENATE("https://us.pandora.net/on/demandware.static/-/Sites-pandora-master-catalog/default/dwbb259ca6/productimages/singlepackshot/",LEFT(A2396,FIND("-",A2396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397" spans="1:4" x14ac:dyDescent="0.25">
      <c r="A2397" s="3" t="s">
        <v>2399</v>
      </c>
      <c r="B2397" s="4">
        <v>79</v>
      </c>
      <c r="C2397" s="3" t="str">
        <f ca="1">IFERROR(ROWSDUMMYFUNCTION(IF(A2397="","",IFERROR(IMAGE(CONCATENATE("https://us.pandora.net/on/demandware.static/-/Sites-pandora-master-catalog/default/dwbb259ca6/productimages/singlepackshot/",LEFT(A2397,FIND("-",A2397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397" s="5" t="str">
        <f ca="1">IFERROR(ROWSDUMMYFUNCTION(IF(A2397="","",CONCATENATE("https://us.pandora.net/on/demandware.static/-/Sites-pandora-master-catalog/default/dwbb259ca6/productimages/singlepackshot/",LEFT(A2397,FIND("-",A2397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398" spans="1:4" x14ac:dyDescent="0.25">
      <c r="A2398" s="3" t="s">
        <v>2400</v>
      </c>
      <c r="B2398" s="4">
        <v>79</v>
      </c>
      <c r="C2398" s="3" t="str">
        <f ca="1">IFERROR(ROWSDUMMYFUNCTION(IF(A2398="","",IFERROR(IMAGE(CONCATENATE("https://us.pandora.net/on/demandware.static/-/Sites-pandora-master-catalog/default/dwbb259ca6/productimages/singlepackshot/",LEFT(A2398,FIND("-",A2398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398" s="5" t="str">
        <f ca="1">IFERROR(ROWSDUMMYFUNCTION(IF(A2398="","",CONCATENATE("https://us.pandora.net/on/demandware.static/-/Sites-pandora-master-catalog/default/dwbb259ca6/productimages/singlepackshot/",LEFT(A2398,FIND("-",A2398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399" spans="1:4" x14ac:dyDescent="0.25">
      <c r="A2399" s="3" t="s">
        <v>2401</v>
      </c>
      <c r="B2399" s="4">
        <v>79</v>
      </c>
      <c r="C2399" s="3" t="str">
        <f ca="1">IFERROR(ROWSDUMMYFUNCTION(IF(A2399="","",IFERROR(IMAGE(CONCATENATE("https://us.pandora.net/on/demandware.static/-/Sites-pandora-master-catalog/default/dwbb259ca6/productimages/singlepackshot/",LEFT(A2399,FIND("-",A2399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399" s="5" t="str">
        <f ca="1">IFERROR(ROWSDUMMYFUNCTION(IF(A2399="","",CONCATENATE("https://us.pandora.net/on/demandware.static/-/Sites-pandora-master-catalog/default/dwbb259ca6/productimages/singlepackshot/",LEFT(A2399,FIND("-",A2399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400" spans="1:4" x14ac:dyDescent="0.25">
      <c r="A2400" s="3" t="s">
        <v>2402</v>
      </c>
      <c r="B2400" s="4">
        <v>79</v>
      </c>
      <c r="C2400" s="3" t="str">
        <f ca="1">IFERROR(ROWSDUMMYFUNCTION(IF(A2400="","",IFERROR(IMAGE(CONCATENATE("https://us.pandora.net/on/demandware.static/-/Sites-pandora-master-catalog/default/dwbb259ca6/productimages/singlepackshot/",LEFT(A2400,FIND("-",A2400&amp;"-")-1),"_RGB.png")),""))),"{""url"":""https://us.pandora.net/on/demandware.static/-/Sites-pandora-master-catalog/default/dwbb259ca6/productimages/singlepackshot/590038C01_RGB.png"",""mode"":1}")</f>
        <v>{"url":"https://us.pandora.net/on/demandware.static/-/Sites-pandora-master-catalog/default/dwbb259ca6/productimages/singlepackshot/590038C01_RGB.png","mode":1}</v>
      </c>
      <c r="D2400" s="5" t="str">
        <f ca="1">IFERROR(ROWSDUMMYFUNCTION(IF(A2400="","",CONCATENATE("https://us.pandora.net/on/demandware.static/-/Sites-pandora-master-catalog/default/dwbb259ca6/productimages/singlepackshot/",LEFT(A2400,FIND("-",A2400&amp;"-")-1),"_RGB.png"))),"https://us.pandora.net/on/demandware.static/-/Sites-pandora-master-catalog/default/dwbb259ca6/productimages/singlepackshot/590038C01_RGB.png")</f>
        <v>https://us.pandora.net/on/demandware.static/-/Sites-pandora-master-catalog/default/dwbb259ca6/productimages/singlepackshot/590038C01_RGB.png</v>
      </c>
    </row>
    <row r="2401" spans="1:4" x14ac:dyDescent="0.25">
      <c r="A2401" s="3" t="s">
        <v>2403</v>
      </c>
      <c r="B2401" s="4">
        <v>89</v>
      </c>
      <c r="C2401" s="3" t="str">
        <f ca="1">IFERROR(ROWSDUMMYFUNCTION(IF(A2401="","",IFERROR(IMAGE(CONCATENATE("https://us.pandora.net/on/demandware.static/-/Sites-pandora-master-catalog/default/dwbb259ca6/productimages/singlepackshot/",LEFT(A2401,FIND("-",A2401&amp;"-")-1),"_RGB.png")),""))),"{""url"":""https://us.pandora.net/on/demandware.static/-/Sites-pandora-master-catalog/default/dwbb259ca6/productimages/singlepackshot/590039C01_RGB.png"",""mode"":1}")</f>
        <v>{"url":"https://us.pandora.net/on/demandware.static/-/Sites-pandora-master-catalog/default/dwbb259ca6/productimages/singlepackshot/590039C01_RGB.png","mode":1}</v>
      </c>
      <c r="D2401" s="5" t="str">
        <f ca="1">IFERROR(ROWSDUMMYFUNCTION(IF(A2401="","",CONCATENATE("https://us.pandora.net/on/demandware.static/-/Sites-pandora-master-catalog/default/dwbb259ca6/productimages/singlepackshot/",LEFT(A2401,FIND("-",A2401&amp;"-")-1),"_RGB.png"))),"https://us.pandora.net/on/demandware.static/-/Sites-pandora-master-catalog/default/dwbb259ca6/productimages/singlepackshot/590039C01_RGB.png")</f>
        <v>https://us.pandora.net/on/demandware.static/-/Sites-pandora-master-catalog/default/dwbb259ca6/productimages/singlepackshot/590039C01_RGB.png</v>
      </c>
    </row>
    <row r="2402" spans="1:4" x14ac:dyDescent="0.25">
      <c r="A2402" s="3" t="s">
        <v>2404</v>
      </c>
      <c r="B2402" s="4">
        <v>89</v>
      </c>
      <c r="C2402" s="3" t="str">
        <f ca="1">IFERROR(ROWSDUMMYFUNCTION(IF(A2402="","",IFERROR(IMAGE(CONCATENATE("https://us.pandora.net/on/demandware.static/-/Sites-pandora-master-catalog/default/dwbb259ca6/productimages/singlepackshot/",LEFT(A2402,FIND("-",A2402&amp;"-")-1),"_RGB.png")),""))),"{""url"":""https://us.pandora.net/on/demandware.static/-/Sites-pandora-master-catalog/default/dwbb259ca6/productimages/singlepackshot/590039C01_RGB.png"",""mode"":1}")</f>
        <v>{"url":"https://us.pandora.net/on/demandware.static/-/Sites-pandora-master-catalog/default/dwbb259ca6/productimages/singlepackshot/590039C01_RGB.png","mode":1}</v>
      </c>
      <c r="D2402" s="5" t="str">
        <f ca="1">IFERROR(ROWSDUMMYFUNCTION(IF(A2402="","",CONCATENATE("https://us.pandora.net/on/demandware.static/-/Sites-pandora-master-catalog/default/dwbb259ca6/productimages/singlepackshot/",LEFT(A2402,FIND("-",A2402&amp;"-")-1),"_RGB.png"))),"https://us.pandora.net/on/demandware.static/-/Sites-pandora-master-catalog/default/dwbb259ca6/productimages/singlepackshot/590039C01_RGB.png")</f>
        <v>https://us.pandora.net/on/demandware.static/-/Sites-pandora-master-catalog/default/dwbb259ca6/productimages/singlepackshot/590039C01_RGB.png</v>
      </c>
    </row>
    <row r="2403" spans="1:4" x14ac:dyDescent="0.25">
      <c r="A2403" s="3" t="s">
        <v>2405</v>
      </c>
      <c r="B2403" s="4">
        <v>89</v>
      </c>
      <c r="C2403" s="3" t="str">
        <f ca="1">IFERROR(ROWSDUMMYFUNCTION(IF(A2403="","",IFERROR(IMAGE(CONCATENATE("https://us.pandora.net/on/demandware.static/-/Sites-pandora-master-catalog/default/dwbb259ca6/productimages/singlepackshot/",LEFT(A2403,FIND("-",A2403&amp;"-")-1),"_RGB.png")),""))),"{""url"":""https://us.pandora.net/on/demandware.static/-/Sites-pandora-master-catalog/default/dwbb259ca6/productimages/singlepackshot/590039C01_RGB.png"",""mode"":1}")</f>
        <v>{"url":"https://us.pandora.net/on/demandware.static/-/Sites-pandora-master-catalog/default/dwbb259ca6/productimages/singlepackshot/590039C01_RGB.png","mode":1}</v>
      </c>
      <c r="D2403" s="5" t="str">
        <f ca="1">IFERROR(ROWSDUMMYFUNCTION(IF(A2403="","",CONCATENATE("https://us.pandora.net/on/demandware.static/-/Sites-pandora-master-catalog/default/dwbb259ca6/productimages/singlepackshot/",LEFT(A2403,FIND("-",A2403&amp;"-")-1),"_RGB.png"))),"https://us.pandora.net/on/demandware.static/-/Sites-pandora-master-catalog/default/dwbb259ca6/productimages/singlepackshot/590039C01_RGB.png")</f>
        <v>https://us.pandora.net/on/demandware.static/-/Sites-pandora-master-catalog/default/dwbb259ca6/productimages/singlepackshot/590039C01_RGB.png</v>
      </c>
    </row>
    <row r="2404" spans="1:4" x14ac:dyDescent="0.25">
      <c r="A2404" s="3" t="s">
        <v>2406</v>
      </c>
      <c r="B2404" s="4">
        <v>89</v>
      </c>
      <c r="C2404" s="3" t="str">
        <f ca="1">IFERROR(ROWSDUMMYFUNCTION(IF(A2404="","",IFERROR(IMAGE(CONCATENATE("https://us.pandora.net/on/demandware.static/-/Sites-pandora-master-catalog/default/dwbb259ca6/productimages/singlepackshot/",LEFT(A2404,FIND("-",A2404&amp;"-")-1),"_RGB.png")),""))),"{""url"":""https://us.pandora.net/on/demandware.static/-/Sites-pandora-master-catalog/default/dwbb259ca6/productimages/singlepackshot/590041C01_RGB.png"",""mode"":1}")</f>
        <v>{"url":"https://us.pandora.net/on/demandware.static/-/Sites-pandora-master-catalog/default/dwbb259ca6/productimages/singlepackshot/590041C01_RGB.png","mode":1}</v>
      </c>
      <c r="D2404" s="5" t="str">
        <f ca="1">IFERROR(ROWSDUMMYFUNCTION(IF(A2404="","",CONCATENATE("https://us.pandora.net/on/demandware.static/-/Sites-pandora-master-catalog/default/dwbb259ca6/productimages/singlepackshot/",LEFT(A2404,FIND("-",A2404&amp;"-")-1),"_RGB.png"))),"https://us.pandora.net/on/demandware.static/-/Sites-pandora-master-catalog/default/dwbb259ca6/productimages/singlepackshot/590041C01_RGB.png")</f>
        <v>https://us.pandora.net/on/demandware.static/-/Sites-pandora-master-catalog/default/dwbb259ca6/productimages/singlepackshot/590041C01_RGB.png</v>
      </c>
    </row>
    <row r="2405" spans="1:4" x14ac:dyDescent="0.25">
      <c r="A2405" s="3" t="s">
        <v>2407</v>
      </c>
      <c r="B2405" s="4">
        <v>89</v>
      </c>
      <c r="C2405" s="3" t="str">
        <f ca="1">IFERROR(ROWSDUMMYFUNCTION(IF(A2405="","",IFERROR(IMAGE(CONCATENATE("https://us.pandora.net/on/demandware.static/-/Sites-pandora-master-catalog/default/dwbb259ca6/productimages/singlepackshot/",LEFT(A2405,FIND("-",A2405&amp;"-")-1),"_RGB.png")),""))),"{""url"":""https://us.pandora.net/on/demandware.static/-/Sites-pandora-master-catalog/default/dwbb259ca6/productimages/singlepackshot/590041C01_RGB.png"",""mode"":1}")</f>
        <v>{"url":"https://us.pandora.net/on/demandware.static/-/Sites-pandora-master-catalog/default/dwbb259ca6/productimages/singlepackshot/590041C01_RGB.png","mode":1}</v>
      </c>
      <c r="D2405" s="5" t="str">
        <f ca="1">IFERROR(ROWSDUMMYFUNCTION(IF(A2405="","",CONCATENATE("https://us.pandora.net/on/demandware.static/-/Sites-pandora-master-catalog/default/dwbb259ca6/productimages/singlepackshot/",LEFT(A2405,FIND("-",A2405&amp;"-")-1),"_RGB.png"))),"https://us.pandora.net/on/demandware.static/-/Sites-pandora-master-catalog/default/dwbb259ca6/productimages/singlepackshot/590041C01_RGB.png")</f>
        <v>https://us.pandora.net/on/demandware.static/-/Sites-pandora-master-catalog/default/dwbb259ca6/productimages/singlepackshot/590041C01_RGB.png</v>
      </c>
    </row>
    <row r="2406" spans="1:4" x14ac:dyDescent="0.25">
      <c r="A2406" s="3" t="s">
        <v>2408</v>
      </c>
      <c r="B2406" s="4">
        <v>89</v>
      </c>
      <c r="C2406" s="3" t="str">
        <f ca="1">IFERROR(ROWSDUMMYFUNCTION(IF(A2406="","",IFERROR(IMAGE(CONCATENATE("https://us.pandora.net/on/demandware.static/-/Sites-pandora-master-catalog/default/dwbb259ca6/productimages/singlepackshot/",LEFT(A2406,FIND("-",A2406&amp;"-")-1),"_RGB.png")),""))),"{""url"":""https://us.pandora.net/on/demandware.static/-/Sites-pandora-master-catalog/default/dwbb259ca6/productimages/singlepackshot/590041C01_RGB.png"",""mode"":1}")</f>
        <v>{"url":"https://us.pandora.net/on/demandware.static/-/Sites-pandora-master-catalog/default/dwbb259ca6/productimages/singlepackshot/590041C01_RGB.png","mode":1}</v>
      </c>
      <c r="D2406" s="5" t="str">
        <f ca="1">IFERROR(ROWSDUMMYFUNCTION(IF(A2406="","",CONCATENATE("https://us.pandora.net/on/demandware.static/-/Sites-pandora-master-catalog/default/dwbb259ca6/productimages/singlepackshot/",LEFT(A2406,FIND("-",A2406&amp;"-")-1),"_RGB.png"))),"https://us.pandora.net/on/demandware.static/-/Sites-pandora-master-catalog/default/dwbb259ca6/productimages/singlepackshot/590041C01_RGB.png")</f>
        <v>https://us.pandora.net/on/demandware.static/-/Sites-pandora-master-catalog/default/dwbb259ca6/productimages/singlepackshot/590041C01_RGB.png</v>
      </c>
    </row>
    <row r="2407" spans="1:4" x14ac:dyDescent="0.25">
      <c r="A2407" s="3" t="s">
        <v>2409</v>
      </c>
      <c r="B2407" s="4">
        <v>79</v>
      </c>
      <c r="C2407" s="3" t="str">
        <f ca="1">IFERROR(ROWSDUMMYFUNCTION(IF(A2407="","",IFERROR(IMAGE(CONCATENATE("https://us.pandora.net/on/demandware.static/-/Sites-pandora-master-catalog/default/dwbb259ca6/productimages/singlepackshot/",LEFT(A2407,FIND("-",A2407&amp;"-")-1),"_RGB.png")),""))),"{""url"":""https://us.pandora.net/on/demandware.static/-/Sites-pandora-master-catalog/default/dwbb259ca6/productimages/singlepackshot/590041C02_RGB.png"",""mode"":1}")</f>
        <v>{"url":"https://us.pandora.net/on/demandware.static/-/Sites-pandora-master-catalog/default/dwbb259ca6/productimages/singlepackshot/590041C02_RGB.png","mode":1}</v>
      </c>
      <c r="D2407" s="5" t="str">
        <f ca="1">IFERROR(ROWSDUMMYFUNCTION(IF(A2407="","",CONCATENATE("https://us.pandora.net/on/demandware.static/-/Sites-pandora-master-catalog/default/dwbb259ca6/productimages/singlepackshot/",LEFT(A2407,FIND("-",A2407&amp;"-")-1),"_RGB.png"))),"https://us.pandora.net/on/demandware.static/-/Sites-pandora-master-catalog/default/dwbb259ca6/productimages/singlepackshot/590041C02_RGB.png")</f>
        <v>https://us.pandora.net/on/demandware.static/-/Sites-pandora-master-catalog/default/dwbb259ca6/productimages/singlepackshot/590041C02_RGB.png</v>
      </c>
    </row>
    <row r="2408" spans="1:4" x14ac:dyDescent="0.25">
      <c r="A2408" s="3" t="s">
        <v>2410</v>
      </c>
      <c r="B2408" s="4">
        <v>79</v>
      </c>
      <c r="C2408" s="3" t="str">
        <f ca="1">IFERROR(ROWSDUMMYFUNCTION(IF(A2408="","",IFERROR(IMAGE(CONCATENATE("https://us.pandora.net/on/demandware.static/-/Sites-pandora-master-catalog/default/dwbb259ca6/productimages/singlepackshot/",LEFT(A2408,FIND("-",A2408&amp;"-")-1),"_RGB.png")),""))),"{""url"":""https://us.pandora.net/on/demandware.static/-/Sites-pandora-master-catalog/default/dwbb259ca6/productimages/singlepackshot/590041C02_RGB.png"",""mode"":1}")</f>
        <v>{"url":"https://us.pandora.net/on/demandware.static/-/Sites-pandora-master-catalog/default/dwbb259ca6/productimages/singlepackshot/590041C02_RGB.png","mode":1}</v>
      </c>
      <c r="D2408" s="5" t="str">
        <f ca="1">IFERROR(ROWSDUMMYFUNCTION(IF(A2408="","",CONCATENATE("https://us.pandora.net/on/demandware.static/-/Sites-pandora-master-catalog/default/dwbb259ca6/productimages/singlepackshot/",LEFT(A2408,FIND("-",A2408&amp;"-")-1),"_RGB.png"))),"https://us.pandora.net/on/demandware.static/-/Sites-pandora-master-catalog/default/dwbb259ca6/productimages/singlepackshot/590041C02_RGB.png")</f>
        <v>https://us.pandora.net/on/demandware.static/-/Sites-pandora-master-catalog/default/dwbb259ca6/productimages/singlepackshot/590041C02_RGB.png</v>
      </c>
    </row>
    <row r="2409" spans="1:4" x14ac:dyDescent="0.25">
      <c r="A2409" s="3" t="s">
        <v>2411</v>
      </c>
      <c r="B2409" s="4">
        <v>79</v>
      </c>
      <c r="C2409" s="3" t="str">
        <f ca="1">IFERROR(ROWSDUMMYFUNCTION(IF(A2409="","",IFERROR(IMAGE(CONCATENATE("https://us.pandora.net/on/demandware.static/-/Sites-pandora-master-catalog/default/dwbb259ca6/productimages/singlepackshot/",LEFT(A2409,FIND("-",A2409&amp;"-")-1),"_RGB.png")),""))),"{""url"":""https://us.pandora.net/on/demandware.static/-/Sites-pandora-master-catalog/default/dwbb259ca6/productimages/singlepackshot/590041C02_RGB.png"",""mode"":1}")</f>
        <v>{"url":"https://us.pandora.net/on/demandware.static/-/Sites-pandora-master-catalog/default/dwbb259ca6/productimages/singlepackshot/590041C02_RGB.png","mode":1}</v>
      </c>
      <c r="D2409" s="5" t="str">
        <f ca="1">IFERROR(ROWSDUMMYFUNCTION(IF(A2409="","",CONCATENATE("https://us.pandora.net/on/demandware.static/-/Sites-pandora-master-catalog/default/dwbb259ca6/productimages/singlepackshot/",LEFT(A2409,FIND("-",A2409&amp;"-")-1),"_RGB.png"))),"https://us.pandora.net/on/demandware.static/-/Sites-pandora-master-catalog/default/dwbb259ca6/productimages/singlepackshot/590041C02_RGB.png")</f>
        <v>https://us.pandora.net/on/demandware.static/-/Sites-pandora-master-catalog/default/dwbb259ca6/productimages/singlepackshot/590041C02_RGB.png</v>
      </c>
    </row>
    <row r="2410" spans="1:4" x14ac:dyDescent="0.25">
      <c r="A2410" s="3" t="s">
        <v>2412</v>
      </c>
      <c r="B2410" s="4">
        <v>99</v>
      </c>
      <c r="C2410" s="3" t="str">
        <f ca="1">IFERROR(ROWSDUMMYFUNCTION(IF(A2410="","",IFERROR(IMAGE(CONCATENATE("https://us.pandora.net/on/demandware.static/-/Sites-pandora-master-catalog/default/dwbb259ca6/productimages/singlepackshot/",LEFT(A2410,FIND("-",A2410&amp;"-")-1),"_RGB.png")),""))),"{""url"":""https://us.pandora.net/on/demandware.static/-/Sites-pandora-master-catalog/default/dwbb259ca6/productimages/singlepackshot/590041C03_RGB.png"",""mode"":1}")</f>
        <v>{"url":"https://us.pandora.net/on/demandware.static/-/Sites-pandora-master-catalog/default/dwbb259ca6/productimages/singlepackshot/590041C03_RGB.png","mode":1}</v>
      </c>
      <c r="D2410" s="5" t="str">
        <f ca="1">IFERROR(ROWSDUMMYFUNCTION(IF(A2410="","",CONCATENATE("https://us.pandora.net/on/demandware.static/-/Sites-pandora-master-catalog/default/dwbb259ca6/productimages/singlepackshot/",LEFT(A2410,FIND("-",A2410&amp;"-")-1),"_RGB.png"))),"https://us.pandora.net/on/demandware.static/-/Sites-pandora-master-catalog/default/dwbb259ca6/productimages/singlepackshot/590041C03_RGB.png")</f>
        <v>https://us.pandora.net/on/demandware.static/-/Sites-pandora-master-catalog/default/dwbb259ca6/productimages/singlepackshot/590041C03_RGB.png</v>
      </c>
    </row>
    <row r="2411" spans="1:4" x14ac:dyDescent="0.25">
      <c r="A2411" s="3" t="s">
        <v>2413</v>
      </c>
      <c r="B2411" s="4">
        <v>99</v>
      </c>
      <c r="C2411" s="3" t="str">
        <f ca="1">IFERROR(ROWSDUMMYFUNCTION(IF(A2411="","",IFERROR(IMAGE(CONCATENATE("https://us.pandora.net/on/demandware.static/-/Sites-pandora-master-catalog/default/dwbb259ca6/productimages/singlepackshot/",LEFT(A2411,FIND("-",A2411&amp;"-")-1),"_RGB.png")),""))),"{""url"":""https://us.pandora.net/on/demandware.static/-/Sites-pandora-master-catalog/default/dwbb259ca6/productimages/singlepackshot/590041C03_RGB.png"",""mode"":1}")</f>
        <v>{"url":"https://us.pandora.net/on/demandware.static/-/Sites-pandora-master-catalog/default/dwbb259ca6/productimages/singlepackshot/590041C03_RGB.png","mode":1}</v>
      </c>
      <c r="D2411" s="5" t="str">
        <f ca="1">IFERROR(ROWSDUMMYFUNCTION(IF(A2411="","",CONCATENATE("https://us.pandora.net/on/demandware.static/-/Sites-pandora-master-catalog/default/dwbb259ca6/productimages/singlepackshot/",LEFT(A2411,FIND("-",A2411&amp;"-")-1),"_RGB.png"))),"https://us.pandora.net/on/demandware.static/-/Sites-pandora-master-catalog/default/dwbb259ca6/productimages/singlepackshot/590041C03_RGB.png")</f>
        <v>https://us.pandora.net/on/demandware.static/-/Sites-pandora-master-catalog/default/dwbb259ca6/productimages/singlepackshot/590041C03_RGB.png</v>
      </c>
    </row>
    <row r="2412" spans="1:4" x14ac:dyDescent="0.25">
      <c r="A2412" s="3" t="s">
        <v>2414</v>
      </c>
      <c r="B2412" s="4">
        <v>99</v>
      </c>
      <c r="C2412" s="3" t="str">
        <f ca="1">IFERROR(ROWSDUMMYFUNCTION(IF(A2412="","",IFERROR(IMAGE(CONCATENATE("https://us.pandora.net/on/demandware.static/-/Sites-pandora-master-catalog/default/dwbb259ca6/productimages/singlepackshot/",LEFT(A2412,FIND("-",A2412&amp;"-")-1),"_RGB.png")),""))),"{""url"":""https://us.pandora.net/on/demandware.static/-/Sites-pandora-master-catalog/default/dwbb259ca6/productimages/singlepackshot/590041C03_RGB.png"",""mode"":1}")</f>
        <v>{"url":"https://us.pandora.net/on/demandware.static/-/Sites-pandora-master-catalog/default/dwbb259ca6/productimages/singlepackshot/590041C03_RGB.png","mode":1}</v>
      </c>
      <c r="D2412" s="5" t="str">
        <f ca="1">IFERROR(ROWSDUMMYFUNCTION(IF(A2412="","",CONCATENATE("https://us.pandora.net/on/demandware.static/-/Sites-pandora-master-catalog/default/dwbb259ca6/productimages/singlepackshot/",LEFT(A2412,FIND("-",A2412&amp;"-")-1),"_RGB.png"))),"https://us.pandora.net/on/demandware.static/-/Sites-pandora-master-catalog/default/dwbb259ca6/productimages/singlepackshot/590041C03_RGB.png")</f>
        <v>https://us.pandora.net/on/demandware.static/-/Sites-pandora-master-catalog/default/dwbb259ca6/productimages/singlepackshot/590041C03_RGB.png</v>
      </c>
    </row>
    <row r="2413" spans="1:4" x14ac:dyDescent="0.25">
      <c r="A2413" s="3" t="s">
        <v>2415</v>
      </c>
      <c r="B2413" s="4">
        <v>79</v>
      </c>
      <c r="C2413" s="3" t="str">
        <f ca="1">IFERROR(ROWSDUMMYFUNCTION(IF(A2413="","",IFERROR(IMAGE(CONCATENATE("https://us.pandora.net/on/demandware.static/-/Sites-pandora-master-catalog/default/dwbb259ca6/productimages/singlepackshot/",LEFT(A2413,FIND("-",A2413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3" s="5" t="str">
        <f ca="1">IFERROR(ROWSDUMMYFUNCTION(IF(A2413="","",CONCATENATE("https://us.pandora.net/on/demandware.static/-/Sites-pandora-master-catalog/default/dwbb259ca6/productimages/singlepackshot/",LEFT(A2413,FIND("-",A2413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14" spans="1:4" x14ac:dyDescent="0.25">
      <c r="A2414" s="3" t="s">
        <v>2416</v>
      </c>
      <c r="B2414" s="4">
        <v>79</v>
      </c>
      <c r="C2414" s="3" t="str">
        <f ca="1">IFERROR(ROWSDUMMYFUNCTION(IF(A2414="","",IFERROR(IMAGE(CONCATENATE("https://us.pandora.net/on/demandware.static/-/Sites-pandora-master-catalog/default/dwbb259ca6/productimages/singlepackshot/",LEFT(A2414,FIND("-",A2414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4" s="5" t="str">
        <f ca="1">IFERROR(ROWSDUMMYFUNCTION(IF(A2414="","",CONCATENATE("https://us.pandora.net/on/demandware.static/-/Sites-pandora-master-catalog/default/dwbb259ca6/productimages/singlepackshot/",LEFT(A2414,FIND("-",A2414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15" spans="1:4" x14ac:dyDescent="0.25">
      <c r="A2415" s="3" t="s">
        <v>2417</v>
      </c>
      <c r="B2415" s="4">
        <v>79</v>
      </c>
      <c r="C2415" s="3" t="str">
        <f ca="1">IFERROR(ROWSDUMMYFUNCTION(IF(A2415="","",IFERROR(IMAGE(CONCATENATE("https://us.pandora.net/on/demandware.static/-/Sites-pandora-master-catalog/default/dwbb259ca6/productimages/singlepackshot/",LEFT(A2415,FIND("-",A2415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5" s="5" t="str">
        <f ca="1">IFERROR(ROWSDUMMYFUNCTION(IF(A2415="","",CONCATENATE("https://us.pandora.net/on/demandware.static/-/Sites-pandora-master-catalog/default/dwbb259ca6/productimages/singlepackshot/",LEFT(A2415,FIND("-",A2415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16" spans="1:4" x14ac:dyDescent="0.25">
      <c r="A2416" s="3" t="s">
        <v>2418</v>
      </c>
      <c r="B2416" s="4">
        <v>79</v>
      </c>
      <c r="C2416" s="3" t="str">
        <f ca="1">IFERROR(ROWSDUMMYFUNCTION(IF(A2416="","",IFERROR(IMAGE(CONCATENATE("https://us.pandora.net/on/demandware.static/-/Sites-pandora-master-catalog/default/dwbb259ca6/productimages/singlepackshot/",LEFT(A2416,FIND("-",A2416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6" s="5" t="str">
        <f ca="1">IFERROR(ROWSDUMMYFUNCTION(IF(A2416="","",CONCATENATE("https://us.pandora.net/on/demandware.static/-/Sites-pandora-master-catalog/default/dwbb259ca6/productimages/singlepackshot/",LEFT(A2416,FIND("-",A2416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17" spans="1:4" x14ac:dyDescent="0.25">
      <c r="A2417" s="3" t="s">
        <v>2419</v>
      </c>
      <c r="B2417" s="4">
        <v>79</v>
      </c>
      <c r="C2417" s="3" t="str">
        <f ca="1">IFERROR(ROWSDUMMYFUNCTION(IF(A2417="","",IFERROR(IMAGE(CONCATENATE("https://us.pandora.net/on/demandware.static/-/Sites-pandora-master-catalog/default/dwbb259ca6/productimages/singlepackshot/",LEFT(A2417,FIND("-",A2417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7" s="5" t="str">
        <f ca="1">IFERROR(ROWSDUMMYFUNCTION(IF(A2417="","",CONCATENATE("https://us.pandora.net/on/demandware.static/-/Sites-pandora-master-catalog/default/dwbb259ca6/productimages/singlepackshot/",LEFT(A2417,FIND("-",A2417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18" spans="1:4" x14ac:dyDescent="0.25">
      <c r="A2418" s="3" t="s">
        <v>2420</v>
      </c>
      <c r="B2418" s="4">
        <v>79</v>
      </c>
      <c r="C2418" s="3" t="str">
        <f ca="1">IFERROR(ROWSDUMMYFUNCTION(IF(A2418="","",IFERROR(IMAGE(CONCATENATE("https://us.pandora.net/on/demandware.static/-/Sites-pandora-master-catalog/default/dwbb259ca6/productimages/singlepackshot/",LEFT(A2418,FIND("-",A2418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8" s="5" t="str">
        <f ca="1">IFERROR(ROWSDUMMYFUNCTION(IF(A2418="","",CONCATENATE("https://us.pandora.net/on/demandware.static/-/Sites-pandora-master-catalog/default/dwbb259ca6/productimages/singlepackshot/",LEFT(A2418,FIND("-",A2418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19" spans="1:4" x14ac:dyDescent="0.25">
      <c r="A2419" s="3" t="s">
        <v>2421</v>
      </c>
      <c r="B2419" s="4">
        <v>79</v>
      </c>
      <c r="C2419" s="3" t="str">
        <f ca="1">IFERROR(ROWSDUMMYFUNCTION(IF(A2419="","",IFERROR(IMAGE(CONCATENATE("https://us.pandora.net/on/demandware.static/-/Sites-pandora-master-catalog/default/dwbb259ca6/productimages/singlepackshot/",LEFT(A2419,FIND("-",A2419&amp;"-")-1),"_RGB.png")),""))),"{""url"":""https://us.pandora.net/on/demandware.static/-/Sites-pandora-master-catalog/default/dwbb259ca6/productimages/singlepackshot/590122C00_RGB.png"",""mode"":1}")</f>
        <v>{"url":"https://us.pandora.net/on/demandware.static/-/Sites-pandora-master-catalog/default/dwbb259ca6/productimages/singlepackshot/590122C00_RGB.png","mode":1}</v>
      </c>
      <c r="D2419" s="5" t="str">
        <f ca="1">IFERROR(ROWSDUMMYFUNCTION(IF(A2419="","",CONCATENATE("https://us.pandora.net/on/demandware.static/-/Sites-pandora-master-catalog/default/dwbb259ca6/productimages/singlepackshot/",LEFT(A2419,FIND("-",A2419&amp;"-")-1),"_RGB.png"))),"https://us.pandora.net/on/demandware.static/-/Sites-pandora-master-catalog/default/dwbb259ca6/productimages/singlepackshot/590122C00_RGB.png")</f>
        <v>https://us.pandora.net/on/demandware.static/-/Sites-pandora-master-catalog/default/dwbb259ca6/productimages/singlepackshot/590122C00_RGB.png</v>
      </c>
    </row>
    <row r="2420" spans="1:4" x14ac:dyDescent="0.25">
      <c r="A2420" s="3" t="s">
        <v>2422</v>
      </c>
      <c r="B2420" s="4">
        <v>39</v>
      </c>
      <c r="C2420" s="3" t="str">
        <f ca="1">IFERROR(ROWSDUMMYFUNCTION(IF(A2420="","",IFERROR(IMAGE(CONCATENATE("https://us.pandora.net/on/demandware.static/-/Sites-pandora-master-catalog/default/dwbb259ca6/productimages/singlepackshot/",LEFT(A2420,FIND("-",A2420&amp;"-")-1),"_RGB.png")),""))),"{""url"":""https://us.pandora.net/on/demandware.static/-/Sites-pandora-master-catalog/default/dwbb259ca6/productimages/singlepackshot/590200_RGB.png"",""mode"":1}")</f>
        <v>{"url":"https://us.pandora.net/on/demandware.static/-/Sites-pandora-master-catalog/default/dwbb259ca6/productimages/singlepackshot/590200_RGB.png","mode":1}</v>
      </c>
      <c r="D2420" s="5" t="str">
        <f ca="1">IFERROR(ROWSDUMMYFUNCTION(IF(A2420="","",CONCATENATE("https://us.pandora.net/on/demandware.static/-/Sites-pandora-master-catalog/default/dwbb259ca6/productimages/singlepackshot/",LEFT(A2420,FIND("-",A2420&amp;"-")-1),"_RGB.png"))),"https://us.pandora.net/on/demandware.static/-/Sites-pandora-master-catalog/default/dwbb259ca6/productimages/singlepackshot/590200_RGB.png")</f>
        <v>https://us.pandora.net/on/demandware.static/-/Sites-pandora-master-catalog/default/dwbb259ca6/productimages/singlepackshot/590200_RGB.png</v>
      </c>
    </row>
    <row r="2421" spans="1:4" x14ac:dyDescent="0.25">
      <c r="A2421" s="3" t="s">
        <v>2423</v>
      </c>
      <c r="B2421" s="4">
        <v>49</v>
      </c>
      <c r="C2421" s="3" t="str">
        <f ca="1">IFERROR(ROWSDUMMYFUNCTION(IF(A2421="","",IFERROR(IMAGE(CONCATENATE("https://us.pandora.net/on/demandware.static/-/Sites-pandora-master-catalog/default/dwbb259ca6/productimages/singlepackshot/",LEFT(A2421,FIND("-",A2421&amp;"-")-1),"_RGB.png")),""))),"{""url"":""https://us.pandora.net/on/demandware.static/-/Sites-pandora-master-catalog/default/dwbb259ca6/productimages/singlepackshot/590200_RGB.png"",""mode"":1}")</f>
        <v>{"url":"https://us.pandora.net/on/demandware.static/-/Sites-pandora-master-catalog/default/dwbb259ca6/productimages/singlepackshot/590200_RGB.png","mode":1}</v>
      </c>
      <c r="D2421" s="5" t="str">
        <f ca="1">IFERROR(ROWSDUMMYFUNCTION(IF(A2421="","",CONCATENATE("https://us.pandora.net/on/demandware.static/-/Sites-pandora-master-catalog/default/dwbb259ca6/productimages/singlepackshot/",LEFT(A2421,FIND("-",A2421&amp;"-")-1),"_RGB.png"))),"https://us.pandora.net/on/demandware.static/-/Sites-pandora-master-catalog/default/dwbb259ca6/productimages/singlepackshot/590200_RGB.png")</f>
        <v>https://us.pandora.net/on/demandware.static/-/Sites-pandora-master-catalog/default/dwbb259ca6/productimages/singlepackshot/590200_RGB.png</v>
      </c>
    </row>
    <row r="2422" spans="1:4" x14ac:dyDescent="0.25">
      <c r="A2422" s="3" t="s">
        <v>2424</v>
      </c>
      <c r="B2422" s="4">
        <v>59</v>
      </c>
      <c r="C2422" s="3" t="str">
        <f ca="1">IFERROR(ROWSDUMMYFUNCTION(IF(A2422="","",IFERROR(IMAGE(CONCATENATE("https://us.pandora.net/on/demandware.static/-/Sites-pandora-master-catalog/default/dwbb259ca6/productimages/singlepackshot/",LEFT(A2422,FIND("-",A2422&amp;"-")-1),"_RGB.png")),""))),"{""url"":""https://us.pandora.net/on/demandware.static/-/Sites-pandora-master-catalog/default/dwbb259ca6/productimages/singlepackshot/590200_RGB.png"",""mode"":1}")</f>
        <v>{"url":"https://us.pandora.net/on/demandware.static/-/Sites-pandora-master-catalog/default/dwbb259ca6/productimages/singlepackshot/590200_RGB.png","mode":1}</v>
      </c>
      <c r="D2422" s="5" t="str">
        <f ca="1">IFERROR(ROWSDUMMYFUNCTION(IF(A2422="","",CONCATENATE("https://us.pandora.net/on/demandware.static/-/Sites-pandora-master-catalog/default/dwbb259ca6/productimages/singlepackshot/",LEFT(A2422,FIND("-",A2422&amp;"-")-1),"_RGB.png"))),"https://us.pandora.net/on/demandware.static/-/Sites-pandora-master-catalog/default/dwbb259ca6/productimages/singlepackshot/590200_RGB.png")</f>
        <v>https://us.pandora.net/on/demandware.static/-/Sites-pandora-master-catalog/default/dwbb259ca6/productimages/singlepackshot/590200_RGB.png</v>
      </c>
    </row>
    <row r="2423" spans="1:4" x14ac:dyDescent="0.25">
      <c r="A2423" s="3" t="s">
        <v>2425</v>
      </c>
      <c r="B2423" s="4">
        <v>39</v>
      </c>
      <c r="C2423" s="3" t="str">
        <f ca="1">IFERROR(ROWSDUMMYFUNCTION(IF(A2423="","",IFERROR(IMAGE(CONCATENATE("https://us.pandora.net/on/demandware.static/-/Sites-pandora-master-catalog/default/dwbb259ca6/productimages/singlepackshot/",LEFT(A2423,FIND("-",A2423&amp;"-")-1),"_RGB.png")),""))),"{""url"":""https://us.pandora.net/on/demandware.static/-/Sites-pandora-master-catalog/default/dwbb259ca6/productimages/singlepackshot/590412_RGB.png"",""mode"":1}")</f>
        <v>{"url":"https://us.pandora.net/on/demandware.static/-/Sites-pandora-master-catalog/default/dwbb259ca6/productimages/singlepackshot/590412_RGB.png","mode":1}</v>
      </c>
      <c r="D2423" s="5" t="str">
        <f ca="1">IFERROR(ROWSDUMMYFUNCTION(IF(A2423="","",CONCATENATE("https://us.pandora.net/on/demandware.static/-/Sites-pandora-master-catalog/default/dwbb259ca6/productimages/singlepackshot/",LEFT(A2423,FIND("-",A2423&amp;"-")-1),"_RGB.png"))),"https://us.pandora.net/on/demandware.static/-/Sites-pandora-master-catalog/default/dwbb259ca6/productimages/singlepackshot/590412_RGB.png")</f>
        <v>https://us.pandora.net/on/demandware.static/-/Sites-pandora-master-catalog/default/dwbb259ca6/productimages/singlepackshot/590412_RGB.png</v>
      </c>
    </row>
    <row r="2424" spans="1:4" x14ac:dyDescent="0.25">
      <c r="A2424" s="3" t="s">
        <v>2426</v>
      </c>
      <c r="B2424" s="4">
        <v>59</v>
      </c>
      <c r="C2424" s="3" t="str">
        <f ca="1">IFERROR(ROWSDUMMYFUNCTION(IF(A2424="","",IFERROR(IMAGE(CONCATENATE("https://us.pandora.net/on/demandware.static/-/Sites-pandora-master-catalog/default/dwbb259ca6/productimages/singlepackshot/",LEFT(A2424,FIND("-",A2424&amp;"-")-1),"_RGB.png")),""))),"{""url"":""https://us.pandora.net/on/demandware.static/-/Sites-pandora-master-catalog/default/dwbb259ca6/productimages/singlepackshot/590412_RGB.png"",""mode"":1}")</f>
        <v>{"url":"https://us.pandora.net/on/demandware.static/-/Sites-pandora-master-catalog/default/dwbb259ca6/productimages/singlepackshot/590412_RGB.png","mode":1}</v>
      </c>
      <c r="D2424" s="5" t="str">
        <f ca="1">IFERROR(ROWSDUMMYFUNCTION(IF(A2424="","",CONCATENATE("https://us.pandora.net/on/demandware.static/-/Sites-pandora-master-catalog/default/dwbb259ca6/productimages/singlepackshot/",LEFT(A2424,FIND("-",A2424&amp;"-")-1),"_RGB.png"))),"https://us.pandora.net/on/demandware.static/-/Sites-pandora-master-catalog/default/dwbb259ca6/productimages/singlepackshot/590412_RGB.png")</f>
        <v>https://us.pandora.net/on/demandware.static/-/Sites-pandora-master-catalog/default/dwbb259ca6/productimages/singlepackshot/590412_RGB.png</v>
      </c>
    </row>
    <row r="2425" spans="1:4" x14ac:dyDescent="0.25">
      <c r="A2425" s="3" t="s">
        <v>2427</v>
      </c>
      <c r="B2425" s="4">
        <v>89</v>
      </c>
      <c r="C2425" s="3" t="str">
        <f ca="1">IFERROR(ROWSDUMMYFUNCTION(IF(A2425="","",IFERROR(IMAGE(CONCATENATE("https://us.pandora.net/on/demandware.static/-/Sites-pandora-master-catalog/default/dwbb259ca6/productimages/singlepackshot/",LEFT(A2425,FIND("-",A2425&amp;"-")-1),"_RGB.png")),""))),"{""url"":""https://us.pandora.net/on/demandware.static/-/Sites-pandora-master-catalog/default/dwbb259ca6/productimages/singlepackshot/590514CZ_RGB.png"",""mode"":1}")</f>
        <v>{"url":"https://us.pandora.net/on/demandware.static/-/Sites-pandora-master-catalog/default/dwbb259ca6/productimages/singlepackshot/590514CZ_RGB.png","mode":1}</v>
      </c>
      <c r="D2425" s="5" t="str">
        <f ca="1">IFERROR(ROWSDUMMYFUNCTION(IF(A2425="","",CONCATENATE("https://us.pandora.net/on/demandware.static/-/Sites-pandora-master-catalog/default/dwbb259ca6/productimages/singlepackshot/",LEFT(A2425,FIND("-",A2425&amp;"-")-1),"_RGB.png"))),"https://us.pandora.net/on/demandware.static/-/Sites-pandora-master-catalog/default/dwbb259ca6/productimages/singlepackshot/590514CZ_RGB.png")</f>
        <v>https://us.pandora.net/on/demandware.static/-/Sites-pandora-master-catalog/default/dwbb259ca6/productimages/singlepackshot/590514CZ_RGB.png</v>
      </c>
    </row>
    <row r="2426" spans="1:4" x14ac:dyDescent="0.25">
      <c r="A2426" s="3" t="s">
        <v>2428</v>
      </c>
      <c r="B2426" s="4">
        <v>35</v>
      </c>
      <c r="C2426" s="3" t="str">
        <f ca="1">IFERROR(ROWSDUMMYFUNCTION(IF(A2426="","",IFERROR(IMAGE(CONCATENATE("https://us.pandora.net/on/demandware.static/-/Sites-pandora-master-catalog/default/dwbb259ca6/productimages/singlepackshot/",LEFT(A2426,FIND("-",A2426&amp;"-")-1),"_RGB.png")),""))),"{""url"":""https://us.pandora.net/on/demandware.static/-/Sites-pandora-master-catalog/default/dwbb259ca6/productimages/singlepackshot/590515_RGB.png"",""mode"":1}")</f>
        <v>{"url":"https://us.pandora.net/on/demandware.static/-/Sites-pandora-master-catalog/default/dwbb259ca6/productimages/singlepackshot/590515_RGB.png","mode":1}</v>
      </c>
      <c r="D2426" s="5" t="str">
        <f ca="1">IFERROR(ROWSDUMMYFUNCTION(IF(A2426="","",CONCATENATE("https://us.pandora.net/on/demandware.static/-/Sites-pandora-master-catalog/default/dwbb259ca6/productimages/singlepackshot/",LEFT(A2426,FIND("-",A2426&amp;"-")-1),"_RGB.png"))),"https://us.pandora.net/on/demandware.static/-/Sites-pandora-master-catalog/default/dwbb259ca6/productimages/singlepackshot/590515_RGB.png")</f>
        <v>https://us.pandora.net/on/demandware.static/-/Sites-pandora-master-catalog/default/dwbb259ca6/productimages/singlepackshot/590515_RGB.png</v>
      </c>
    </row>
    <row r="2427" spans="1:4" x14ac:dyDescent="0.25">
      <c r="A2427" s="3" t="s">
        <v>2429</v>
      </c>
      <c r="B2427" s="4">
        <v>59</v>
      </c>
      <c r="C2427" s="3" t="str">
        <f ca="1">IFERROR(ROWSDUMMYFUNCTION(IF(A2427="","",IFERROR(IMAGE(CONCATENATE("https://us.pandora.net/on/demandware.static/-/Sites-pandora-master-catalog/default/dwbb259ca6/productimages/singlepackshot/",LEFT(A2427,FIND("-",A2427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27" s="5" t="str">
        <f ca="1">IFERROR(ROWSDUMMYFUNCTION(IF(A2427="","",CONCATENATE("https://us.pandora.net/on/demandware.static/-/Sites-pandora-master-catalog/default/dwbb259ca6/productimages/singlepackshot/",LEFT(A2427,FIND("-",A2427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28" spans="1:4" x14ac:dyDescent="0.25">
      <c r="A2428" s="3" t="s">
        <v>2430</v>
      </c>
      <c r="B2428" s="4">
        <v>59</v>
      </c>
      <c r="C2428" s="3" t="str">
        <f ca="1">IFERROR(ROWSDUMMYFUNCTION(IF(A2428="","",IFERROR(IMAGE(CONCATENATE("https://us.pandora.net/on/demandware.static/-/Sites-pandora-master-catalog/default/dwbb259ca6/productimages/singlepackshot/",LEFT(A2428,FIND("-",A2428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28" s="5" t="str">
        <f ca="1">IFERROR(ROWSDUMMYFUNCTION(IF(A2428="","",CONCATENATE("https://us.pandora.net/on/demandware.static/-/Sites-pandora-master-catalog/default/dwbb259ca6/productimages/singlepackshot/",LEFT(A2428,FIND("-",A2428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29" spans="1:4" x14ac:dyDescent="0.25">
      <c r="A2429" s="3" t="s">
        <v>2431</v>
      </c>
      <c r="B2429" s="4">
        <v>59</v>
      </c>
      <c r="C2429" s="3" t="str">
        <f ca="1">IFERROR(ROWSDUMMYFUNCTION(IF(A2429="","",IFERROR(IMAGE(CONCATENATE("https://us.pandora.net/on/demandware.static/-/Sites-pandora-master-catalog/default/dwbb259ca6/productimages/singlepackshot/",LEFT(A2429,FIND("-",A2429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29" s="5" t="str">
        <f ca="1">IFERROR(ROWSDUMMYFUNCTION(IF(A2429="","",CONCATENATE("https://us.pandora.net/on/demandware.static/-/Sites-pandora-master-catalog/default/dwbb259ca6/productimages/singlepackshot/",LEFT(A2429,FIND("-",A2429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30" spans="1:4" x14ac:dyDescent="0.25">
      <c r="A2430" s="3" t="s">
        <v>2432</v>
      </c>
      <c r="B2430" s="4">
        <v>59</v>
      </c>
      <c r="C2430" s="3" t="str">
        <f ca="1">IFERROR(ROWSDUMMYFUNCTION(IF(A2430="","",IFERROR(IMAGE(CONCATENATE("https://us.pandora.net/on/demandware.static/-/Sites-pandora-master-catalog/default/dwbb259ca6/productimages/singlepackshot/",LEFT(A2430,FIND("-",A2430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30" s="5" t="str">
        <f ca="1">IFERROR(ROWSDUMMYFUNCTION(IF(A2430="","",CONCATENATE("https://us.pandora.net/on/demandware.static/-/Sites-pandora-master-catalog/default/dwbb259ca6/productimages/singlepackshot/",LEFT(A2430,FIND("-",A2430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31" spans="1:4" x14ac:dyDescent="0.25">
      <c r="A2431" s="3" t="s">
        <v>2433</v>
      </c>
      <c r="B2431" s="4">
        <v>59</v>
      </c>
      <c r="C2431" s="3" t="str">
        <f ca="1">IFERROR(ROWSDUMMYFUNCTION(IF(A2431="","",IFERROR(IMAGE(CONCATENATE("https://us.pandora.net/on/demandware.static/-/Sites-pandora-master-catalog/default/dwbb259ca6/productimages/singlepackshot/",LEFT(A2431,FIND("-",A2431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31" s="5" t="str">
        <f ca="1">IFERROR(ROWSDUMMYFUNCTION(IF(A2431="","",CONCATENATE("https://us.pandora.net/on/demandware.static/-/Sites-pandora-master-catalog/default/dwbb259ca6/productimages/singlepackshot/",LEFT(A2431,FIND("-",A2431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32" spans="1:4" x14ac:dyDescent="0.25">
      <c r="A2432" s="3" t="s">
        <v>2434</v>
      </c>
      <c r="B2432" s="4">
        <v>59</v>
      </c>
      <c r="C2432" s="3" t="str">
        <f ca="1">IFERROR(ROWSDUMMYFUNCTION(IF(A2432="","",IFERROR(IMAGE(CONCATENATE("https://us.pandora.net/on/demandware.static/-/Sites-pandora-master-catalog/default/dwbb259ca6/productimages/singlepackshot/",LEFT(A2432,FIND("-",A2432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32" s="5" t="str">
        <f ca="1">IFERROR(ROWSDUMMYFUNCTION(IF(A2432="","",CONCATENATE("https://us.pandora.net/on/demandware.static/-/Sites-pandora-master-catalog/default/dwbb259ca6/productimages/singlepackshot/",LEFT(A2432,FIND("-",A2432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33" spans="1:4" x14ac:dyDescent="0.25">
      <c r="A2433" s="3" t="s">
        <v>2435</v>
      </c>
      <c r="B2433" s="4">
        <v>59</v>
      </c>
      <c r="C2433" s="3" t="str">
        <f ca="1">IFERROR(ROWSDUMMYFUNCTION(IF(A2433="","",IFERROR(IMAGE(CONCATENATE("https://us.pandora.net/on/demandware.static/-/Sites-pandora-master-catalog/default/dwbb259ca6/productimages/singlepackshot/",LEFT(A2433,FIND("-",A2433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33" s="5" t="str">
        <f ca="1">IFERROR(ROWSDUMMYFUNCTION(IF(A2433="","",CONCATENATE("https://us.pandora.net/on/demandware.static/-/Sites-pandora-master-catalog/default/dwbb259ca6/productimages/singlepackshot/",LEFT(A2433,FIND("-",A2433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34" spans="1:4" x14ac:dyDescent="0.25">
      <c r="A2434" s="3" t="s">
        <v>2436</v>
      </c>
      <c r="B2434" s="4">
        <v>59</v>
      </c>
      <c r="C2434" s="3" t="str">
        <f ca="1">IFERROR(ROWSDUMMYFUNCTION(IF(A2434="","",IFERROR(IMAGE(CONCATENATE("https://us.pandora.net/on/demandware.static/-/Sites-pandora-master-catalog/default/dwbb259ca6/productimages/singlepackshot/",LEFT(A2434,FIND("-",A2434&amp;"-")-1),"_RGB.png")),""))),"{""url"":""https://us.pandora.net/on/demandware.static/-/Sites-pandora-master-catalog/default/dwbb259ca6/productimages/singlepackshot/590702HV_RGB.png"",""mode"":1}")</f>
        <v>{"url":"https://us.pandora.net/on/demandware.static/-/Sites-pandora-master-catalog/default/dwbb259ca6/productimages/singlepackshot/590702HV_RGB.png","mode":1}</v>
      </c>
      <c r="D2434" s="5" t="str">
        <f ca="1">IFERROR(ROWSDUMMYFUNCTION(IF(A2434="","",CONCATENATE("https://us.pandora.net/on/demandware.static/-/Sites-pandora-master-catalog/default/dwbb259ca6/productimages/singlepackshot/",LEFT(A2434,FIND("-",A2434&amp;"-")-1),"_RGB.png"))),"https://us.pandora.net/on/demandware.static/-/Sites-pandora-master-catalog/default/dwbb259ca6/productimages/singlepackshot/590702HV_RGB.png")</f>
        <v>https://us.pandora.net/on/demandware.static/-/Sites-pandora-master-catalog/default/dwbb259ca6/productimages/singlepackshot/590702HV_RGB.png</v>
      </c>
    </row>
    <row r="2435" spans="1:4" x14ac:dyDescent="0.25">
      <c r="A2435" s="3" t="s">
        <v>2437</v>
      </c>
      <c r="B2435" s="4">
        <v>59</v>
      </c>
      <c r="C2435" s="3" t="str">
        <f ca="1">IFERROR(ROWSDUMMYFUNCTION(IF(A2435="","",IFERROR(IMAGE(CONCATENATE("https://us.pandora.net/on/demandware.static/-/Sites-pandora-master-catalog/default/dwbb259ca6/productimages/singlepackshot/",LEFT(A2435,FIND("-",A2435&amp;"-")-1),"_RGB.png")),""))),"{""url"":""https://us.pandora.net/on/demandware.static/-/Sites-pandora-master-catalog/default/dwbb259ca6/productimages/singlepackshot/590713_RGB.png"",""mode"":1}")</f>
        <v>{"url":"https://us.pandora.net/on/demandware.static/-/Sites-pandora-master-catalog/default/dwbb259ca6/productimages/singlepackshot/590713_RGB.png","mode":1}</v>
      </c>
      <c r="D2435" s="5" t="str">
        <f ca="1">IFERROR(ROWSDUMMYFUNCTION(IF(A2435="","",CONCATENATE("https://us.pandora.net/on/demandware.static/-/Sites-pandora-master-catalog/default/dwbb259ca6/productimages/singlepackshot/",LEFT(A2435,FIND("-",A2435&amp;"-")-1),"_RGB.png"))),"https://us.pandora.net/on/demandware.static/-/Sites-pandora-master-catalog/default/dwbb259ca6/productimages/singlepackshot/590713_RGB.png")</f>
        <v>https://us.pandora.net/on/demandware.static/-/Sites-pandora-master-catalog/default/dwbb259ca6/productimages/singlepackshot/590713_RGB.png</v>
      </c>
    </row>
    <row r="2436" spans="1:4" x14ac:dyDescent="0.25">
      <c r="A2436" s="3" t="s">
        <v>2438</v>
      </c>
      <c r="B2436" s="4">
        <v>59</v>
      </c>
      <c r="C2436" s="3" t="str">
        <f ca="1">IFERROR(ROWSDUMMYFUNCTION(IF(A2436="","",IFERROR(IMAGE(CONCATENATE("https://us.pandora.net/on/demandware.static/-/Sites-pandora-master-catalog/default/dwbb259ca6/productimages/singlepackshot/",LEFT(A2436,FIND("-",A2436&amp;"-")-1),"_RGB.png")),""))),"{""url"":""https://us.pandora.net/on/demandware.static/-/Sites-pandora-master-catalog/default/dwbb259ca6/productimages/singlepackshot/590713_RGB.png"",""mode"":1}")</f>
        <v>{"url":"https://us.pandora.net/on/demandware.static/-/Sites-pandora-master-catalog/default/dwbb259ca6/productimages/singlepackshot/590713_RGB.png","mode":1}</v>
      </c>
      <c r="D2436" s="5" t="str">
        <f ca="1">IFERROR(ROWSDUMMYFUNCTION(IF(A2436="","",CONCATENATE("https://us.pandora.net/on/demandware.static/-/Sites-pandora-master-catalog/default/dwbb259ca6/productimages/singlepackshot/",LEFT(A2436,FIND("-",A2436&amp;"-")-1),"_RGB.png"))),"https://us.pandora.net/on/demandware.static/-/Sites-pandora-master-catalog/default/dwbb259ca6/productimages/singlepackshot/590713_RGB.png")</f>
        <v>https://us.pandora.net/on/demandware.static/-/Sites-pandora-master-catalog/default/dwbb259ca6/productimages/singlepackshot/590713_RGB.png</v>
      </c>
    </row>
    <row r="2437" spans="1:4" x14ac:dyDescent="0.25">
      <c r="A2437" s="3" t="s">
        <v>2439</v>
      </c>
      <c r="B2437" s="4">
        <v>59</v>
      </c>
      <c r="C2437" s="3" t="str">
        <f ca="1">IFERROR(ROWSDUMMYFUNCTION(IF(A2437="","",IFERROR(IMAGE(CONCATENATE("https://us.pandora.net/on/demandware.static/-/Sites-pandora-master-catalog/default/dwbb259ca6/productimages/singlepackshot/",LEFT(A2437,FIND("-",A2437&amp;"-")-1),"_RGB.png")),""))),"{""url"":""https://us.pandora.net/on/demandware.static/-/Sites-pandora-master-catalog/default/dwbb259ca6/productimages/singlepackshot/590713_RGB.png"",""mode"":1}")</f>
        <v>{"url":"https://us.pandora.net/on/demandware.static/-/Sites-pandora-master-catalog/default/dwbb259ca6/productimages/singlepackshot/590713_RGB.png","mode":1}</v>
      </c>
      <c r="D2437" s="5" t="str">
        <f ca="1">IFERROR(ROWSDUMMYFUNCTION(IF(A2437="","",CONCATENATE("https://us.pandora.net/on/demandware.static/-/Sites-pandora-master-catalog/default/dwbb259ca6/productimages/singlepackshot/",LEFT(A2437,FIND("-",A2437&amp;"-")-1),"_RGB.png"))),"https://us.pandora.net/on/demandware.static/-/Sites-pandora-master-catalog/default/dwbb259ca6/productimages/singlepackshot/590713_RGB.png")</f>
        <v>https://us.pandora.net/on/demandware.static/-/Sites-pandora-master-catalog/default/dwbb259ca6/productimages/singlepackshot/590713_RGB.png</v>
      </c>
    </row>
    <row r="2438" spans="1:4" x14ac:dyDescent="0.25">
      <c r="A2438" s="3" t="s">
        <v>2440</v>
      </c>
      <c r="B2438" s="4">
        <v>59</v>
      </c>
      <c r="C2438" s="3" t="str">
        <f ca="1">IFERROR(ROWSDUMMYFUNCTION(IF(A2438="","",IFERROR(IMAGE(CONCATENATE("https://us.pandora.net/on/demandware.static/-/Sites-pandora-master-catalog/default/dwbb259ca6/productimages/singlepackshot/",LEFT(A2438,FIND("-",A2438&amp;"-")-1),"_RGB.png")),""))),"{""url"":""https://us.pandora.net/on/demandware.static/-/Sites-pandora-master-catalog/default/dwbb259ca6/productimages/singlepackshot/590713_RGB.png"",""mode"":1}")</f>
        <v>{"url":"https://us.pandora.net/on/demandware.static/-/Sites-pandora-master-catalog/default/dwbb259ca6/productimages/singlepackshot/590713_RGB.png","mode":1}</v>
      </c>
      <c r="D2438" s="5" t="str">
        <f ca="1">IFERROR(ROWSDUMMYFUNCTION(IF(A2438="","",CONCATENATE("https://us.pandora.net/on/demandware.static/-/Sites-pandora-master-catalog/default/dwbb259ca6/productimages/singlepackshot/",LEFT(A2438,FIND("-",A2438&amp;"-")-1),"_RGB.png"))),"https://us.pandora.net/on/demandware.static/-/Sites-pandora-master-catalog/default/dwbb259ca6/productimages/singlepackshot/590713_RGB.png")</f>
        <v>https://us.pandora.net/on/demandware.static/-/Sites-pandora-master-catalog/default/dwbb259ca6/productimages/singlepackshot/590713_RGB.png</v>
      </c>
    </row>
    <row r="2439" spans="1:4" x14ac:dyDescent="0.25">
      <c r="A2439" s="3" t="s">
        <v>2441</v>
      </c>
      <c r="B2439" s="4">
        <v>59</v>
      </c>
      <c r="C2439" s="3" t="str">
        <f ca="1">IFERROR(ROWSDUMMYFUNCTION(IF(A2439="","",IFERROR(IMAGE(CONCATENATE("https://us.pandora.net/on/demandware.static/-/Sites-pandora-master-catalog/default/dwbb259ca6/productimages/singlepackshot/",LEFT(A2439,FIND("-",A2439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39" s="5" t="str">
        <f ca="1">IFERROR(ROWSDUMMYFUNCTION(IF(A2439="","",CONCATENATE("https://us.pandora.net/on/demandware.static/-/Sites-pandora-master-catalog/default/dwbb259ca6/productimages/singlepackshot/",LEFT(A2439,FIND("-",A2439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0" spans="1:4" x14ac:dyDescent="0.25">
      <c r="A2440" s="3" t="s">
        <v>2442</v>
      </c>
      <c r="B2440" s="4">
        <v>59</v>
      </c>
      <c r="C2440" s="3" t="str">
        <f ca="1">IFERROR(ROWSDUMMYFUNCTION(IF(A2440="","",IFERROR(IMAGE(CONCATENATE("https://us.pandora.net/on/demandware.static/-/Sites-pandora-master-catalog/default/dwbb259ca6/productimages/singlepackshot/",LEFT(A2440,FIND("-",A2440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40" s="5" t="str">
        <f ca="1">IFERROR(ROWSDUMMYFUNCTION(IF(A2440="","",CONCATENATE("https://us.pandora.net/on/demandware.static/-/Sites-pandora-master-catalog/default/dwbb259ca6/productimages/singlepackshot/",LEFT(A2440,FIND("-",A2440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1" spans="1:4" x14ac:dyDescent="0.25">
      <c r="A2441" s="3" t="s">
        <v>2443</v>
      </c>
      <c r="B2441" s="4">
        <v>59</v>
      </c>
      <c r="C2441" s="3" t="str">
        <f ca="1">IFERROR(ROWSDUMMYFUNCTION(IF(A2441="","",IFERROR(IMAGE(CONCATENATE("https://us.pandora.net/on/demandware.static/-/Sites-pandora-master-catalog/default/dwbb259ca6/productimages/singlepackshot/",LEFT(A2441,FIND("-",A2441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41" s="5" t="str">
        <f ca="1">IFERROR(ROWSDUMMYFUNCTION(IF(A2441="","",CONCATENATE("https://us.pandora.net/on/demandware.static/-/Sites-pandora-master-catalog/default/dwbb259ca6/productimages/singlepackshot/",LEFT(A2441,FIND("-",A2441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2" spans="1:4" x14ac:dyDescent="0.25">
      <c r="A2442" s="3" t="s">
        <v>2444</v>
      </c>
      <c r="B2442" s="4">
        <v>59</v>
      </c>
      <c r="C2442" s="3" t="str">
        <f ca="1">IFERROR(ROWSDUMMYFUNCTION(IF(A2442="","",IFERROR(IMAGE(CONCATENATE("https://us.pandora.net/on/demandware.static/-/Sites-pandora-master-catalog/default/dwbb259ca6/productimages/singlepackshot/",LEFT(A2442,FIND("-",A2442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42" s="5" t="str">
        <f ca="1">IFERROR(ROWSDUMMYFUNCTION(IF(A2442="","",CONCATENATE("https://us.pandora.net/on/demandware.static/-/Sites-pandora-master-catalog/default/dwbb259ca6/productimages/singlepackshot/",LEFT(A2442,FIND("-",A2442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3" spans="1:4" x14ac:dyDescent="0.25">
      <c r="A2443" s="3" t="s">
        <v>2445</v>
      </c>
      <c r="B2443" s="4">
        <v>59</v>
      </c>
      <c r="C2443" s="3" t="str">
        <f ca="1">IFERROR(ROWSDUMMYFUNCTION(IF(A2443="","",IFERROR(IMAGE(CONCATENATE("https://us.pandora.net/on/demandware.static/-/Sites-pandora-master-catalog/default/dwbb259ca6/productimages/singlepackshot/",LEFT(A2443,FIND("-",A2443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43" s="5" t="str">
        <f ca="1">IFERROR(ROWSDUMMYFUNCTION(IF(A2443="","",CONCATENATE("https://us.pandora.net/on/demandware.static/-/Sites-pandora-master-catalog/default/dwbb259ca6/productimages/singlepackshot/",LEFT(A2443,FIND("-",A2443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4" spans="1:4" x14ac:dyDescent="0.25">
      <c r="A2444" s="3" t="s">
        <v>2446</v>
      </c>
      <c r="B2444" s="4">
        <v>59</v>
      </c>
      <c r="C2444" s="3" t="str">
        <f ca="1">IFERROR(ROWSDUMMYFUNCTION(IF(A2444="","",IFERROR(IMAGE(CONCATENATE("https://us.pandora.net/on/demandware.static/-/Sites-pandora-master-catalog/default/dwbb259ca6/productimages/singlepackshot/",LEFT(A2444,FIND("-",A2444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44" s="5" t="str">
        <f ca="1">IFERROR(ROWSDUMMYFUNCTION(IF(A2444="","",CONCATENATE("https://us.pandora.net/on/demandware.static/-/Sites-pandora-master-catalog/default/dwbb259ca6/productimages/singlepackshot/",LEFT(A2444,FIND("-",A2444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5" spans="1:4" x14ac:dyDescent="0.25">
      <c r="A2445" s="3" t="s">
        <v>2447</v>
      </c>
      <c r="B2445" s="4">
        <v>59</v>
      </c>
      <c r="C2445" s="3" t="str">
        <f ca="1">IFERROR(ROWSDUMMYFUNCTION(IF(A2445="","",IFERROR(IMAGE(CONCATENATE("https://us.pandora.net/on/demandware.static/-/Sites-pandora-master-catalog/default/dwbb259ca6/productimages/singlepackshot/",LEFT(A2445,FIND("-",A2445&amp;"-")-1),"_RGB.png")),""))),"{""url"":""https://us.pandora.net/on/demandware.static/-/Sites-pandora-master-catalog/default/dwbb259ca6/productimages/singlepackshot/590719_RGB.png"",""mode"":1}")</f>
        <v>{"url":"https://us.pandora.net/on/demandware.static/-/Sites-pandora-master-catalog/default/dwbb259ca6/productimages/singlepackshot/590719_RGB.png","mode":1}</v>
      </c>
      <c r="D2445" s="5" t="str">
        <f ca="1">IFERROR(ROWSDUMMYFUNCTION(IF(A2445="","",CONCATENATE("https://us.pandora.net/on/demandware.static/-/Sites-pandora-master-catalog/default/dwbb259ca6/productimages/singlepackshot/",LEFT(A2445,FIND("-",A2445&amp;"-")-1),"_RGB.png"))),"https://us.pandora.net/on/demandware.static/-/Sites-pandora-master-catalog/default/dwbb259ca6/productimages/singlepackshot/590719_RGB.png")</f>
        <v>https://us.pandora.net/on/demandware.static/-/Sites-pandora-master-catalog/default/dwbb259ca6/productimages/singlepackshot/590719_RGB.png</v>
      </c>
    </row>
    <row r="2446" spans="1:4" x14ac:dyDescent="0.25">
      <c r="A2446" s="3" t="s">
        <v>2448</v>
      </c>
      <c r="B2446" s="4">
        <v>79</v>
      </c>
      <c r="C2446" s="3" t="str">
        <f ca="1">IFERROR(ROWSDUMMYFUNCTION(IF(A2446="","",IFERROR(IMAGE(CONCATENATE("https://us.pandora.net/on/demandware.static/-/Sites-pandora-master-catalog/default/dwbb259ca6/productimages/singlepackshot/",LEFT(A2446,FIND("-",A2446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46" s="5" t="str">
        <f ca="1">IFERROR(ROWSDUMMYFUNCTION(IF(A2446="","",CONCATENATE("https://us.pandora.net/on/demandware.static/-/Sites-pandora-master-catalog/default/dwbb259ca6/productimages/singlepackshot/",LEFT(A2446,FIND("-",A2446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47" spans="1:4" x14ac:dyDescent="0.25">
      <c r="A2447" s="3" t="s">
        <v>2449</v>
      </c>
      <c r="B2447" s="4">
        <v>79</v>
      </c>
      <c r="C2447" s="3" t="str">
        <f ca="1">IFERROR(ROWSDUMMYFUNCTION(IF(A2447="","",IFERROR(IMAGE(CONCATENATE("https://us.pandora.net/on/demandware.static/-/Sites-pandora-master-catalog/default/dwbb259ca6/productimages/singlepackshot/",LEFT(A2447,FIND("-",A2447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47" s="5" t="str">
        <f ca="1">IFERROR(ROWSDUMMYFUNCTION(IF(A2447="","",CONCATENATE("https://us.pandora.net/on/demandware.static/-/Sites-pandora-master-catalog/default/dwbb259ca6/productimages/singlepackshot/",LEFT(A2447,FIND("-",A2447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48" spans="1:4" x14ac:dyDescent="0.25">
      <c r="A2448" s="3" t="s">
        <v>2450</v>
      </c>
      <c r="B2448" s="4">
        <v>79</v>
      </c>
      <c r="C2448" s="3" t="str">
        <f ca="1">IFERROR(ROWSDUMMYFUNCTION(IF(A2448="","",IFERROR(IMAGE(CONCATENATE("https://us.pandora.net/on/demandware.static/-/Sites-pandora-master-catalog/default/dwbb259ca6/productimages/singlepackshot/",LEFT(A2448,FIND("-",A2448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48" s="5" t="str">
        <f ca="1">IFERROR(ROWSDUMMYFUNCTION(IF(A2448="","",CONCATENATE("https://us.pandora.net/on/demandware.static/-/Sites-pandora-master-catalog/default/dwbb259ca6/productimages/singlepackshot/",LEFT(A2448,FIND("-",A2448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49" spans="1:4" x14ac:dyDescent="0.25">
      <c r="A2449" s="3" t="s">
        <v>2451</v>
      </c>
      <c r="B2449" s="4">
        <v>79</v>
      </c>
      <c r="C2449" s="3" t="str">
        <f ca="1">IFERROR(ROWSDUMMYFUNCTION(IF(A2449="","",IFERROR(IMAGE(CONCATENATE("https://us.pandora.net/on/demandware.static/-/Sites-pandora-master-catalog/default/dwbb259ca6/productimages/singlepackshot/",LEFT(A2449,FIND("-",A2449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49" s="5" t="str">
        <f ca="1">IFERROR(ROWSDUMMYFUNCTION(IF(A2449="","",CONCATENATE("https://us.pandora.net/on/demandware.static/-/Sites-pandora-master-catalog/default/dwbb259ca6/productimages/singlepackshot/",LEFT(A2449,FIND("-",A2449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50" spans="1:4" x14ac:dyDescent="0.25">
      <c r="A2450" s="3" t="s">
        <v>2452</v>
      </c>
      <c r="B2450" s="4">
        <v>79</v>
      </c>
      <c r="C2450" s="3" t="str">
        <f ca="1">IFERROR(ROWSDUMMYFUNCTION(IF(A2450="","",IFERROR(IMAGE(CONCATENATE("https://us.pandora.net/on/demandware.static/-/Sites-pandora-master-catalog/default/dwbb259ca6/productimages/singlepackshot/",LEFT(A2450,FIND("-",A2450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50" s="5" t="str">
        <f ca="1">IFERROR(ROWSDUMMYFUNCTION(IF(A2450="","",CONCATENATE("https://us.pandora.net/on/demandware.static/-/Sites-pandora-master-catalog/default/dwbb259ca6/productimages/singlepackshot/",LEFT(A2450,FIND("-",A2450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51" spans="1:4" x14ac:dyDescent="0.25">
      <c r="A2451" s="3" t="s">
        <v>2453</v>
      </c>
      <c r="B2451" s="4">
        <v>79</v>
      </c>
      <c r="C2451" s="3" t="str">
        <f ca="1">IFERROR(ROWSDUMMYFUNCTION(IF(A2451="","",IFERROR(IMAGE(CONCATENATE("https://us.pandora.net/on/demandware.static/-/Sites-pandora-master-catalog/default/dwbb259ca6/productimages/singlepackshot/",LEFT(A2451,FIND("-",A2451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51" s="5" t="str">
        <f ca="1">IFERROR(ROWSDUMMYFUNCTION(IF(A2451="","",CONCATENATE("https://us.pandora.net/on/demandware.static/-/Sites-pandora-master-catalog/default/dwbb259ca6/productimages/singlepackshot/",LEFT(A2451,FIND("-",A2451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52" spans="1:4" x14ac:dyDescent="0.25">
      <c r="A2452" s="3" t="s">
        <v>2454</v>
      </c>
      <c r="B2452" s="4">
        <v>79</v>
      </c>
      <c r="C2452" s="3" t="str">
        <f ca="1">IFERROR(ROWSDUMMYFUNCTION(IF(A2452="","",IFERROR(IMAGE(CONCATENATE("https://us.pandora.net/on/demandware.static/-/Sites-pandora-master-catalog/default/dwbb259ca6/productimages/singlepackshot/",LEFT(A2452,FIND("-",A2452&amp;"-")-1),"_RGB.png")),""))),"{""url"":""https://us.pandora.net/on/demandware.static/-/Sites-pandora-master-catalog/default/dwbb259ca6/productimages/singlepackshot/590727CZ_RGB.png"",""mode"":1}")</f>
        <v>{"url":"https://us.pandora.net/on/demandware.static/-/Sites-pandora-master-catalog/default/dwbb259ca6/productimages/singlepackshot/590727CZ_RGB.png","mode":1}</v>
      </c>
      <c r="D2452" s="5" t="str">
        <f ca="1">IFERROR(ROWSDUMMYFUNCTION(IF(A2452="","",CONCATENATE("https://us.pandora.net/on/demandware.static/-/Sites-pandora-master-catalog/default/dwbb259ca6/productimages/singlepackshot/",LEFT(A2452,FIND("-",A2452&amp;"-")-1),"_RGB.png"))),"https://us.pandora.net/on/demandware.static/-/Sites-pandora-master-catalog/default/dwbb259ca6/productimages/singlepackshot/590727CZ_RGB.png")</f>
        <v>https://us.pandora.net/on/demandware.static/-/Sites-pandora-master-catalog/default/dwbb259ca6/productimages/singlepackshot/590727CZ_RGB.png</v>
      </c>
    </row>
    <row r="2453" spans="1:4" x14ac:dyDescent="0.25">
      <c r="A2453" s="3" t="s">
        <v>2455</v>
      </c>
      <c r="B2453" s="4">
        <v>59</v>
      </c>
      <c r="C2453" s="3" t="str">
        <f ca="1">IFERROR(ROWSDUMMYFUNCTION(IF(A2453="","",IFERROR(IMAGE(CONCATENATE("https://us.pandora.net/on/demandware.static/-/Sites-pandora-master-catalog/default/dwbb259ca6/productimages/singlepackshot/",LEFT(A2453,FIND("-",A2453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3" s="5" t="str">
        <f ca="1">IFERROR(ROWSDUMMYFUNCTION(IF(A2453="","",CONCATENATE("https://us.pandora.net/on/demandware.static/-/Sites-pandora-master-catalog/default/dwbb259ca6/productimages/singlepackshot/",LEFT(A2453,FIND("-",A2453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54" spans="1:4" x14ac:dyDescent="0.25">
      <c r="A2454" s="3" t="s">
        <v>2456</v>
      </c>
      <c r="B2454" s="4">
        <v>59</v>
      </c>
      <c r="C2454" s="3" t="str">
        <f ca="1">IFERROR(ROWSDUMMYFUNCTION(IF(A2454="","",IFERROR(IMAGE(CONCATENATE("https://us.pandora.net/on/demandware.static/-/Sites-pandora-master-catalog/default/dwbb259ca6/productimages/singlepackshot/",LEFT(A2454,FIND("-",A2454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4" s="5" t="str">
        <f ca="1">IFERROR(ROWSDUMMYFUNCTION(IF(A2454="","",CONCATENATE("https://us.pandora.net/on/demandware.static/-/Sites-pandora-master-catalog/default/dwbb259ca6/productimages/singlepackshot/",LEFT(A2454,FIND("-",A2454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55" spans="1:4" x14ac:dyDescent="0.25">
      <c r="A2455" s="3" t="s">
        <v>2457</v>
      </c>
      <c r="B2455" s="4">
        <v>59</v>
      </c>
      <c r="C2455" s="3" t="str">
        <f ca="1">IFERROR(ROWSDUMMYFUNCTION(IF(A2455="","",IFERROR(IMAGE(CONCATENATE("https://us.pandora.net/on/demandware.static/-/Sites-pandora-master-catalog/default/dwbb259ca6/productimages/singlepackshot/",LEFT(A2455,FIND("-",A2455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5" s="5" t="str">
        <f ca="1">IFERROR(ROWSDUMMYFUNCTION(IF(A2455="","",CONCATENATE("https://us.pandora.net/on/demandware.static/-/Sites-pandora-master-catalog/default/dwbb259ca6/productimages/singlepackshot/",LEFT(A2455,FIND("-",A2455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56" spans="1:4" x14ac:dyDescent="0.25">
      <c r="A2456" s="3" t="s">
        <v>2458</v>
      </c>
      <c r="B2456" s="4">
        <v>59</v>
      </c>
      <c r="C2456" s="3" t="str">
        <f ca="1">IFERROR(ROWSDUMMYFUNCTION(IF(A2456="","",IFERROR(IMAGE(CONCATENATE("https://us.pandora.net/on/demandware.static/-/Sites-pandora-master-catalog/default/dwbb259ca6/productimages/singlepackshot/",LEFT(A2456,FIND("-",A2456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6" s="5" t="str">
        <f ca="1">IFERROR(ROWSDUMMYFUNCTION(IF(A2456="","",CONCATENATE("https://us.pandora.net/on/demandware.static/-/Sites-pandora-master-catalog/default/dwbb259ca6/productimages/singlepackshot/",LEFT(A2456,FIND("-",A2456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57" spans="1:4" x14ac:dyDescent="0.25">
      <c r="A2457" s="3" t="s">
        <v>2459</v>
      </c>
      <c r="B2457" s="4">
        <v>59</v>
      </c>
      <c r="C2457" s="3" t="str">
        <f ca="1">IFERROR(ROWSDUMMYFUNCTION(IF(A2457="","",IFERROR(IMAGE(CONCATENATE("https://us.pandora.net/on/demandware.static/-/Sites-pandora-master-catalog/default/dwbb259ca6/productimages/singlepackshot/",LEFT(A2457,FIND("-",A2457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7" s="5" t="str">
        <f ca="1">IFERROR(ROWSDUMMYFUNCTION(IF(A2457="","",CONCATENATE("https://us.pandora.net/on/demandware.static/-/Sites-pandora-master-catalog/default/dwbb259ca6/productimages/singlepackshot/",LEFT(A2457,FIND("-",A2457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58" spans="1:4" x14ac:dyDescent="0.25">
      <c r="A2458" s="3" t="s">
        <v>2460</v>
      </c>
      <c r="B2458" s="4">
        <v>59</v>
      </c>
      <c r="C2458" s="3" t="str">
        <f ca="1">IFERROR(ROWSDUMMYFUNCTION(IF(A2458="","",IFERROR(IMAGE(CONCATENATE("https://us.pandora.net/on/demandware.static/-/Sites-pandora-master-catalog/default/dwbb259ca6/productimages/singlepackshot/",LEFT(A2458,FIND("-",A2458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8" s="5" t="str">
        <f ca="1">IFERROR(ROWSDUMMYFUNCTION(IF(A2458="","",CONCATENATE("https://us.pandora.net/on/demandware.static/-/Sites-pandora-master-catalog/default/dwbb259ca6/productimages/singlepackshot/",LEFT(A2458,FIND("-",A2458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59" spans="1:4" x14ac:dyDescent="0.25">
      <c r="A2459" s="3" t="s">
        <v>2461</v>
      </c>
      <c r="B2459" s="4">
        <v>59</v>
      </c>
      <c r="C2459" s="3" t="str">
        <f ca="1">IFERROR(ROWSDUMMYFUNCTION(IF(A2459="","",IFERROR(IMAGE(CONCATENATE("https://us.pandora.net/on/demandware.static/-/Sites-pandora-master-catalog/default/dwbb259ca6/productimages/singlepackshot/",LEFT(A2459,FIND("-",A2459&amp;"-")-1),"_RGB.png")),""))),"{""url"":""https://us.pandora.net/on/demandware.static/-/Sites-pandora-master-catalog/default/dwbb259ca6/productimages/singlepackshot/590728_RGB.png"",""mode"":1}")</f>
        <v>{"url":"https://us.pandora.net/on/demandware.static/-/Sites-pandora-master-catalog/default/dwbb259ca6/productimages/singlepackshot/590728_RGB.png","mode":1}</v>
      </c>
      <c r="D2459" s="5" t="str">
        <f ca="1">IFERROR(ROWSDUMMYFUNCTION(IF(A2459="","",CONCATENATE("https://us.pandora.net/on/demandware.static/-/Sites-pandora-master-catalog/default/dwbb259ca6/productimages/singlepackshot/",LEFT(A2459,FIND("-",A2459&amp;"-")-1),"_RGB.png"))),"https://us.pandora.net/on/demandware.static/-/Sites-pandora-master-catalog/default/dwbb259ca6/productimages/singlepackshot/590728_RGB.png")</f>
        <v>https://us.pandora.net/on/demandware.static/-/Sites-pandora-master-catalog/default/dwbb259ca6/productimages/singlepackshot/590728_RGB.png</v>
      </c>
    </row>
    <row r="2460" spans="1:4" x14ac:dyDescent="0.25">
      <c r="A2460" s="3" t="s">
        <v>2462</v>
      </c>
      <c r="B2460" s="4">
        <v>129</v>
      </c>
      <c r="C2460" s="3" t="str">
        <f ca="1">IFERROR(ROWSDUMMYFUNCTION(IF(A2460="","",IFERROR(IMAGE(CONCATENATE("https://us.pandora.net/on/demandware.static/-/Sites-pandora-master-catalog/default/dwbb259ca6/productimages/singlepackshot/",LEFT(A2460,FIND("-",A2460&amp;"-")-1),"_RGB.png")),""))),"{""url"":""https://us.pandora.net/on/demandware.static/-/Sites-pandora-master-catalog/default/dwbb259ca6/productimages/singlepackshot/590742HV_RGB.png"",""mode"":1}")</f>
        <v>{"url":"https://us.pandora.net/on/demandware.static/-/Sites-pandora-master-catalog/default/dwbb259ca6/productimages/singlepackshot/590742HV_RGB.png","mode":1}</v>
      </c>
      <c r="D2460" s="5" t="str">
        <f ca="1">IFERROR(ROWSDUMMYFUNCTION(IF(A2460="","",CONCATENATE("https://us.pandora.net/on/demandware.static/-/Sites-pandora-master-catalog/default/dwbb259ca6/productimages/singlepackshot/",LEFT(A2460,FIND("-",A2460&amp;"-")-1),"_RGB.png"))),"https://us.pandora.net/on/demandware.static/-/Sites-pandora-master-catalog/default/dwbb259ca6/productimages/singlepackshot/590742HV_RGB.png")</f>
        <v>https://us.pandora.net/on/demandware.static/-/Sites-pandora-master-catalog/default/dwbb259ca6/productimages/singlepackshot/590742HV_RGB.png</v>
      </c>
    </row>
    <row r="2461" spans="1:4" x14ac:dyDescent="0.25">
      <c r="A2461" s="3" t="s">
        <v>2463</v>
      </c>
      <c r="B2461" s="4">
        <v>129</v>
      </c>
      <c r="C2461" s="3" t="str">
        <f ca="1">IFERROR(ROWSDUMMYFUNCTION(IF(A2461="","",IFERROR(IMAGE(CONCATENATE("https://us.pandora.net/on/demandware.static/-/Sites-pandora-master-catalog/default/dwbb259ca6/productimages/singlepackshot/",LEFT(A2461,FIND("-",A2461&amp;"-")-1),"_RGB.png")),""))),"{""url"":""https://us.pandora.net/on/demandware.static/-/Sites-pandora-master-catalog/default/dwbb259ca6/productimages/singlepackshot/590742HV_RGB.png"",""mode"":1}")</f>
        <v>{"url":"https://us.pandora.net/on/demandware.static/-/Sites-pandora-master-catalog/default/dwbb259ca6/productimages/singlepackshot/590742HV_RGB.png","mode":1}</v>
      </c>
      <c r="D2461" s="5" t="str">
        <f ca="1">IFERROR(ROWSDUMMYFUNCTION(IF(A2461="","",CONCATENATE("https://us.pandora.net/on/demandware.static/-/Sites-pandora-master-catalog/default/dwbb259ca6/productimages/singlepackshot/",LEFT(A2461,FIND("-",A2461&amp;"-")-1),"_RGB.png"))),"https://us.pandora.net/on/demandware.static/-/Sites-pandora-master-catalog/default/dwbb259ca6/productimages/singlepackshot/590742HV_RGB.png")</f>
        <v>https://us.pandora.net/on/demandware.static/-/Sites-pandora-master-catalog/default/dwbb259ca6/productimages/singlepackshot/590742HV_RGB.png</v>
      </c>
    </row>
    <row r="2462" spans="1:4" x14ac:dyDescent="0.25">
      <c r="A2462" s="3" t="s">
        <v>2464</v>
      </c>
      <c r="B2462" s="4">
        <v>129</v>
      </c>
      <c r="C2462" s="3" t="str">
        <f ca="1">IFERROR(ROWSDUMMYFUNCTION(IF(A2462="","",IFERROR(IMAGE(CONCATENATE("https://us.pandora.net/on/demandware.static/-/Sites-pandora-master-catalog/default/dwbb259ca6/productimages/singlepackshot/",LEFT(A2462,FIND("-",A2462&amp;"-")-1),"_RGB.png")),""))),"{""url"":""https://us.pandora.net/on/demandware.static/-/Sites-pandora-master-catalog/default/dwbb259ca6/productimages/singlepackshot/590742HV_RGB.png"",""mode"":1}")</f>
        <v>{"url":"https://us.pandora.net/on/demandware.static/-/Sites-pandora-master-catalog/default/dwbb259ca6/productimages/singlepackshot/590742HV_RGB.png","mode":1}</v>
      </c>
      <c r="D2462" s="5" t="str">
        <f ca="1">IFERROR(ROWSDUMMYFUNCTION(IF(A2462="","",CONCATENATE("https://us.pandora.net/on/demandware.static/-/Sites-pandora-master-catalog/default/dwbb259ca6/productimages/singlepackshot/",LEFT(A2462,FIND("-",A2462&amp;"-")-1),"_RGB.png"))),"https://us.pandora.net/on/demandware.static/-/Sites-pandora-master-catalog/default/dwbb259ca6/productimages/singlepackshot/590742HV_RGB.png")</f>
        <v>https://us.pandora.net/on/demandware.static/-/Sites-pandora-master-catalog/default/dwbb259ca6/productimages/singlepackshot/590742HV_RGB.png</v>
      </c>
    </row>
    <row r="2463" spans="1:4" x14ac:dyDescent="0.25">
      <c r="A2463" s="3" t="s">
        <v>2465</v>
      </c>
      <c r="B2463" s="4">
        <v>129</v>
      </c>
      <c r="C2463" s="3" t="str">
        <f ca="1">IFERROR(ROWSDUMMYFUNCTION(IF(A2463="","",IFERROR(IMAGE(CONCATENATE("https://us.pandora.net/on/demandware.static/-/Sites-pandora-master-catalog/default/dwbb259ca6/productimages/singlepackshot/",LEFT(A2463,FIND("-",A2463&amp;"-")-1),"_RGB.png")),""))),"{""url"":""https://us.pandora.net/on/demandware.static/-/Sites-pandora-master-catalog/default/dwbb259ca6/productimages/singlepackshot/590742HV_RGB.png"",""mode"":1}")</f>
        <v>{"url":"https://us.pandora.net/on/demandware.static/-/Sites-pandora-master-catalog/default/dwbb259ca6/productimages/singlepackshot/590742HV_RGB.png","mode":1}</v>
      </c>
      <c r="D2463" s="5" t="str">
        <f ca="1">IFERROR(ROWSDUMMYFUNCTION(IF(A2463="","",CONCATENATE("https://us.pandora.net/on/demandware.static/-/Sites-pandora-master-catalog/default/dwbb259ca6/productimages/singlepackshot/",LEFT(A2463,FIND("-",A2463&amp;"-")-1),"_RGB.png"))),"https://us.pandora.net/on/demandware.static/-/Sites-pandora-master-catalog/default/dwbb259ca6/productimages/singlepackshot/590742HV_RGB.png")</f>
        <v>https://us.pandora.net/on/demandware.static/-/Sites-pandora-master-catalog/default/dwbb259ca6/productimages/singlepackshot/590742HV_RGB.png</v>
      </c>
    </row>
    <row r="2464" spans="1:4" x14ac:dyDescent="0.25">
      <c r="A2464" s="3" t="s">
        <v>2466</v>
      </c>
      <c r="B2464" s="4">
        <v>59</v>
      </c>
      <c r="C2464" s="3" t="str">
        <f ca="1">IFERROR(ROWSDUMMYFUNCTION(IF(A2464="","",IFERROR(IMAGE(CONCATENATE("https://us.pandora.net/on/demandware.static/-/Sites-pandora-master-catalog/default/dwbb259ca6/productimages/singlepackshot/",LEFT(A2464,FIND("-",A2464&amp;"-")-1),"_RGB.png")),""))),"{""url"":""https://us.pandora.net/on/demandware.static/-/Sites-pandora-master-catalog/default/dwbb259ca6/productimages/singlepackshot/590745CBK_RGB.png"",""mode"":1}")</f>
        <v>{"url":"https://us.pandora.net/on/demandware.static/-/Sites-pandora-master-catalog/default/dwbb259ca6/productimages/singlepackshot/590745CBK_RGB.png","mode":1}</v>
      </c>
      <c r="D2464" s="5" t="str">
        <f ca="1">IFERROR(ROWSDUMMYFUNCTION(IF(A2464="","",CONCATENATE("https://us.pandora.net/on/demandware.static/-/Sites-pandora-master-catalog/default/dwbb259ca6/productimages/singlepackshot/",LEFT(A2464,FIND("-",A2464&amp;"-")-1),"_RGB.png"))),"https://us.pandora.net/on/demandware.static/-/Sites-pandora-master-catalog/default/dwbb259ca6/productimages/singlepackshot/590745CBK_RGB.png")</f>
        <v>https://us.pandora.net/on/demandware.static/-/Sites-pandora-master-catalog/default/dwbb259ca6/productimages/singlepackshot/590745CBK_RGB.png</v>
      </c>
    </row>
    <row r="2465" spans="1:4" x14ac:dyDescent="0.25">
      <c r="A2465" s="3" t="s">
        <v>2467</v>
      </c>
      <c r="B2465" s="4">
        <v>59</v>
      </c>
      <c r="C2465" s="3" t="str">
        <f ca="1">IFERROR(ROWSDUMMYFUNCTION(IF(A2465="","",IFERROR(IMAGE(CONCATENATE("https://us.pandora.net/on/demandware.static/-/Sites-pandora-master-catalog/default/dwbb259ca6/productimages/singlepackshot/",LEFT(A2465,FIND("-",A2465&amp;"-")-1),"_RGB.png")),""))),"{""url"":""https://us.pandora.net/on/demandware.static/-/Sites-pandora-master-catalog/default/dwbb259ca6/productimages/singlepackshot/590745CBK_RGB.png"",""mode"":1}")</f>
        <v>{"url":"https://us.pandora.net/on/demandware.static/-/Sites-pandora-master-catalog/default/dwbb259ca6/productimages/singlepackshot/590745CBK_RGB.png","mode":1}</v>
      </c>
      <c r="D2465" s="5" t="str">
        <f ca="1">IFERROR(ROWSDUMMYFUNCTION(IF(A2465="","",CONCATENATE("https://us.pandora.net/on/demandware.static/-/Sites-pandora-master-catalog/default/dwbb259ca6/productimages/singlepackshot/",LEFT(A2465,FIND("-",A2465&amp;"-")-1),"_RGB.png"))),"https://us.pandora.net/on/demandware.static/-/Sites-pandora-master-catalog/default/dwbb259ca6/productimages/singlepackshot/590745CBK_RGB.png")</f>
        <v>https://us.pandora.net/on/demandware.static/-/Sites-pandora-master-catalog/default/dwbb259ca6/productimages/singlepackshot/590745CBK_RGB.png</v>
      </c>
    </row>
    <row r="2466" spans="1:4" x14ac:dyDescent="0.25">
      <c r="A2466" s="3" t="s">
        <v>2468</v>
      </c>
      <c r="B2466" s="4">
        <v>59</v>
      </c>
      <c r="C2466" s="3" t="str">
        <f ca="1">IFERROR(ROWSDUMMYFUNCTION(IF(A2466="","",IFERROR(IMAGE(CONCATENATE("https://us.pandora.net/on/demandware.static/-/Sites-pandora-master-catalog/default/dwbb259ca6/productimages/singlepackshot/",LEFT(A2466,FIND("-",A2466&amp;"-")-1),"_RGB.png")),""))),"{""url"":""https://us.pandora.net/on/demandware.static/-/Sites-pandora-master-catalog/default/dwbb259ca6/productimages/singlepackshot/590745CBK_RGB.png"",""mode"":1}")</f>
        <v>{"url":"https://us.pandora.net/on/demandware.static/-/Sites-pandora-master-catalog/default/dwbb259ca6/productimages/singlepackshot/590745CBK_RGB.png","mode":1}</v>
      </c>
      <c r="D2466" s="5" t="str">
        <f ca="1">IFERROR(ROWSDUMMYFUNCTION(IF(A2466="","",CONCATENATE("https://us.pandora.net/on/demandware.static/-/Sites-pandora-master-catalog/default/dwbb259ca6/productimages/singlepackshot/",LEFT(A2466,FIND("-",A2466&amp;"-")-1),"_RGB.png"))),"https://us.pandora.net/on/demandware.static/-/Sites-pandora-master-catalog/default/dwbb259ca6/productimages/singlepackshot/590745CBK_RGB.png")</f>
        <v>https://us.pandora.net/on/demandware.static/-/Sites-pandora-master-catalog/default/dwbb259ca6/productimages/singlepackshot/590745CBK_RGB.png</v>
      </c>
    </row>
    <row r="2467" spans="1:4" x14ac:dyDescent="0.25">
      <c r="A2467" s="3" t="s">
        <v>2469</v>
      </c>
      <c r="B2467" s="4">
        <v>59</v>
      </c>
      <c r="C2467" s="3" t="str">
        <f ca="1">IFERROR(ROWSDUMMYFUNCTION(IF(A2467="","",IFERROR(IMAGE(CONCATENATE("https://us.pandora.net/on/demandware.static/-/Sites-pandora-master-catalog/default/dwbb259ca6/productimages/singlepackshot/",LEFT(A2467,FIND("-",A2467&amp;"-")-1),"_RGB.png")),""))),"{""url"":""https://us.pandora.net/on/demandware.static/-/Sites-pandora-master-catalog/default/dwbb259ca6/productimages/singlepackshot/590745CBK_RGB.png"",""mode"":1}")</f>
        <v>{"url":"https://us.pandora.net/on/demandware.static/-/Sites-pandora-master-catalog/default/dwbb259ca6/productimages/singlepackshot/590745CBK_RGB.png","mode":1}</v>
      </c>
      <c r="D2467" s="5" t="str">
        <f ca="1">IFERROR(ROWSDUMMYFUNCTION(IF(A2467="","",CONCATENATE("https://us.pandora.net/on/demandware.static/-/Sites-pandora-master-catalog/default/dwbb259ca6/productimages/singlepackshot/",LEFT(A2467,FIND("-",A2467&amp;"-")-1),"_RGB.png"))),"https://us.pandora.net/on/demandware.static/-/Sites-pandora-master-catalog/default/dwbb259ca6/productimages/singlepackshot/590745CBK_RGB.png")</f>
        <v>https://us.pandora.net/on/demandware.static/-/Sites-pandora-master-catalog/default/dwbb259ca6/productimages/singlepackshot/590745CBK_RGB.png</v>
      </c>
    </row>
    <row r="2468" spans="1:4" x14ac:dyDescent="0.25">
      <c r="A2468" s="3" t="s">
        <v>2470</v>
      </c>
      <c r="B2468" s="4">
        <v>59</v>
      </c>
      <c r="C2468" s="3" t="str">
        <f ca="1">IFERROR(ROWSDUMMYFUNCTION(IF(A2468="","",IFERROR(IMAGE(CONCATENATE("https://us.pandora.net/on/demandware.static/-/Sites-pandora-master-catalog/default/dwbb259ca6/productimages/singlepackshot/",LEFT(A2468,FIND("-",A2468&amp;"-")-1),"_RGB.png")),""))),"{""url"":""https://us.pandora.net/on/demandware.static/-/Sites-pandora-master-catalog/default/dwbb259ca6/productimages/singlepackshot/590745CBK_RGB.png"",""mode"":1}")</f>
        <v>{"url":"https://us.pandora.net/on/demandware.static/-/Sites-pandora-master-catalog/default/dwbb259ca6/productimages/singlepackshot/590745CBK_RGB.png","mode":1}</v>
      </c>
      <c r="D2468" s="5" t="str">
        <f ca="1">IFERROR(ROWSDUMMYFUNCTION(IF(A2468="","",CONCATENATE("https://us.pandora.net/on/demandware.static/-/Sites-pandora-master-catalog/default/dwbb259ca6/productimages/singlepackshot/",LEFT(A2468,FIND("-",A2468&amp;"-")-1),"_RGB.png"))),"https://us.pandora.net/on/demandware.static/-/Sites-pandora-master-catalog/default/dwbb259ca6/productimages/singlepackshot/590745CBK_RGB.png")</f>
        <v>https://us.pandora.net/on/demandware.static/-/Sites-pandora-master-catalog/default/dwbb259ca6/productimages/singlepackshot/590745CBK_RGB.png</v>
      </c>
    </row>
    <row r="2469" spans="1:4" x14ac:dyDescent="0.25">
      <c r="A2469" s="3" t="s">
        <v>2471</v>
      </c>
      <c r="B2469" s="4">
        <v>79</v>
      </c>
      <c r="C2469" s="3" t="str">
        <f ca="1">IFERROR(ROWSDUMMYFUNCTION(IF(A2469="","",IFERROR(IMAGE(CONCATENATE("https://us.pandora.net/on/demandware.static/-/Sites-pandora-master-catalog/default/dwbb259ca6/productimages/singlepackshot/",LEFT(A2469,FIND("-",A2469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69" s="5" t="str">
        <f ca="1">IFERROR(ROWSDUMMYFUNCTION(IF(A2469="","",CONCATENATE("https://us.pandora.net/on/demandware.static/-/Sites-pandora-master-catalog/default/dwbb259ca6/productimages/singlepackshot/",LEFT(A2469,FIND("-",A2469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0" spans="1:4" x14ac:dyDescent="0.25">
      <c r="A2470" s="3" t="s">
        <v>2472</v>
      </c>
      <c r="B2470" s="4">
        <v>79</v>
      </c>
      <c r="C2470" s="3" t="str">
        <f ca="1">IFERROR(ROWSDUMMYFUNCTION(IF(A2470="","",IFERROR(IMAGE(CONCATENATE("https://us.pandora.net/on/demandware.static/-/Sites-pandora-master-catalog/default/dwbb259ca6/productimages/singlepackshot/",LEFT(A2470,FIND("-",A2470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70" s="5" t="str">
        <f ca="1">IFERROR(ROWSDUMMYFUNCTION(IF(A2470="","",CONCATENATE("https://us.pandora.net/on/demandware.static/-/Sites-pandora-master-catalog/default/dwbb259ca6/productimages/singlepackshot/",LEFT(A2470,FIND("-",A2470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1" spans="1:4" x14ac:dyDescent="0.25">
      <c r="A2471" s="3" t="s">
        <v>2473</v>
      </c>
      <c r="B2471" s="4">
        <v>79</v>
      </c>
      <c r="C2471" s="3" t="str">
        <f ca="1">IFERROR(ROWSDUMMYFUNCTION(IF(A2471="","",IFERROR(IMAGE(CONCATENATE("https://us.pandora.net/on/demandware.static/-/Sites-pandora-master-catalog/default/dwbb259ca6/productimages/singlepackshot/",LEFT(A2471,FIND("-",A2471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71" s="5" t="str">
        <f ca="1">IFERROR(ROWSDUMMYFUNCTION(IF(A2471="","",CONCATENATE("https://us.pandora.net/on/demandware.static/-/Sites-pandora-master-catalog/default/dwbb259ca6/productimages/singlepackshot/",LEFT(A2471,FIND("-",A2471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2" spans="1:4" x14ac:dyDescent="0.25">
      <c r="A2472" s="3" t="s">
        <v>2474</v>
      </c>
      <c r="B2472" s="4">
        <v>79</v>
      </c>
      <c r="C2472" s="3" t="str">
        <f ca="1">IFERROR(ROWSDUMMYFUNCTION(IF(A2472="","",IFERROR(IMAGE(CONCATENATE("https://us.pandora.net/on/demandware.static/-/Sites-pandora-master-catalog/default/dwbb259ca6/productimages/singlepackshot/",LEFT(A2472,FIND("-",A2472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72" s="5" t="str">
        <f ca="1">IFERROR(ROWSDUMMYFUNCTION(IF(A2472="","",CONCATENATE("https://us.pandora.net/on/demandware.static/-/Sites-pandora-master-catalog/default/dwbb259ca6/productimages/singlepackshot/",LEFT(A2472,FIND("-",A2472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3" spans="1:4" x14ac:dyDescent="0.25">
      <c r="A2473" s="3" t="s">
        <v>2475</v>
      </c>
      <c r="B2473" s="4">
        <v>79</v>
      </c>
      <c r="C2473" s="3" t="str">
        <f ca="1">IFERROR(ROWSDUMMYFUNCTION(IF(A2473="","",IFERROR(IMAGE(CONCATENATE("https://us.pandora.net/on/demandware.static/-/Sites-pandora-master-catalog/default/dwbb259ca6/productimages/singlepackshot/",LEFT(A2473,FIND("-",A2473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73" s="5" t="str">
        <f ca="1">IFERROR(ROWSDUMMYFUNCTION(IF(A2473="","",CONCATENATE("https://us.pandora.net/on/demandware.static/-/Sites-pandora-master-catalog/default/dwbb259ca6/productimages/singlepackshot/",LEFT(A2473,FIND("-",A2473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4" spans="1:4" x14ac:dyDescent="0.25">
      <c r="A2474" s="3" t="s">
        <v>2476</v>
      </c>
      <c r="B2474" s="4">
        <v>79</v>
      </c>
      <c r="C2474" s="3" t="str">
        <f ca="1">IFERROR(ROWSDUMMYFUNCTION(IF(A2474="","",IFERROR(IMAGE(CONCATENATE("https://us.pandora.net/on/demandware.static/-/Sites-pandora-master-catalog/default/dwbb259ca6/productimages/singlepackshot/",LEFT(A2474,FIND("-",A2474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74" s="5" t="str">
        <f ca="1">IFERROR(ROWSDUMMYFUNCTION(IF(A2474="","",CONCATENATE("https://us.pandora.net/on/demandware.static/-/Sites-pandora-master-catalog/default/dwbb259ca6/productimages/singlepackshot/",LEFT(A2474,FIND("-",A2474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5" spans="1:4" x14ac:dyDescent="0.25">
      <c r="A2475" s="3" t="s">
        <v>2477</v>
      </c>
      <c r="B2475" s="4">
        <v>79</v>
      </c>
      <c r="C2475" s="3" t="str">
        <f ca="1">IFERROR(ROWSDUMMYFUNCTION(IF(A2475="","",IFERROR(IMAGE(CONCATENATE("https://us.pandora.net/on/demandware.static/-/Sites-pandora-master-catalog/default/dwbb259ca6/productimages/singlepackshot/",LEFT(A2475,FIND("-",A2475&amp;"-")-1),"_RGB.png")),""))),"{""url"":""https://us.pandora.net/on/demandware.static/-/Sites-pandora-master-catalog/default/dwbb259ca6/productimages/singlepackshot/590782C01_RGB.png"",""mode"":1}")</f>
        <v>{"url":"https://us.pandora.net/on/demandware.static/-/Sites-pandora-master-catalog/default/dwbb259ca6/productimages/singlepackshot/590782C01_RGB.png","mode":1}</v>
      </c>
      <c r="D2475" s="5" t="str">
        <f ca="1">IFERROR(ROWSDUMMYFUNCTION(IF(A2475="","",CONCATENATE("https://us.pandora.net/on/demandware.static/-/Sites-pandora-master-catalog/default/dwbb259ca6/productimages/singlepackshot/",LEFT(A2475,FIND("-",A2475&amp;"-")-1),"_RGB.png"))),"https://us.pandora.net/on/demandware.static/-/Sites-pandora-master-catalog/default/dwbb259ca6/productimages/singlepackshot/590782C01_RGB.png")</f>
        <v>https://us.pandora.net/on/demandware.static/-/Sites-pandora-master-catalog/default/dwbb259ca6/productimages/singlepackshot/590782C01_RGB.png</v>
      </c>
    </row>
    <row r="2476" spans="1:4" x14ac:dyDescent="0.25">
      <c r="A2476" s="3" t="s">
        <v>2478</v>
      </c>
      <c r="B2476" s="4">
        <v>89</v>
      </c>
      <c r="C2476" s="3" t="str">
        <f ca="1">IFERROR(ROWSDUMMYFUNCTION(IF(A2476="","",IFERROR(IMAGE(CONCATENATE("https://us.pandora.net/on/demandware.static/-/Sites-pandora-master-catalog/default/dwbb259ca6/productimages/singlepackshot/",LEFT(A2476,FIND("-",A2476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76" s="5" t="str">
        <f ca="1">IFERROR(ROWSDUMMYFUNCTION(IF(A2476="","",CONCATENATE("https://us.pandora.net/on/demandware.static/-/Sites-pandora-master-catalog/default/dwbb259ca6/productimages/singlepackshot/",LEFT(A2476,FIND("-",A2476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77" spans="1:4" x14ac:dyDescent="0.25">
      <c r="A2477" s="3" t="s">
        <v>2479</v>
      </c>
      <c r="B2477" s="4">
        <v>89</v>
      </c>
      <c r="C2477" s="3" t="str">
        <f ca="1">IFERROR(ROWSDUMMYFUNCTION(IF(A2477="","",IFERROR(IMAGE(CONCATENATE("https://us.pandora.net/on/demandware.static/-/Sites-pandora-master-catalog/default/dwbb259ca6/productimages/singlepackshot/",LEFT(A2477,FIND("-",A2477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77" s="5" t="str">
        <f ca="1">IFERROR(ROWSDUMMYFUNCTION(IF(A2477="","",CONCATENATE("https://us.pandora.net/on/demandware.static/-/Sites-pandora-master-catalog/default/dwbb259ca6/productimages/singlepackshot/",LEFT(A2477,FIND("-",A2477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78" spans="1:4" x14ac:dyDescent="0.25">
      <c r="A2478" s="3" t="s">
        <v>2480</v>
      </c>
      <c r="B2478" s="4">
        <v>89</v>
      </c>
      <c r="C2478" s="3" t="str">
        <f ca="1">IFERROR(ROWSDUMMYFUNCTION(IF(A2478="","",IFERROR(IMAGE(CONCATENATE("https://us.pandora.net/on/demandware.static/-/Sites-pandora-master-catalog/default/dwbb259ca6/productimages/singlepackshot/",LEFT(A2478,FIND("-",A2478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78" s="5" t="str">
        <f ca="1">IFERROR(ROWSDUMMYFUNCTION(IF(A2478="","",CONCATENATE("https://us.pandora.net/on/demandware.static/-/Sites-pandora-master-catalog/default/dwbb259ca6/productimages/singlepackshot/",LEFT(A2478,FIND("-",A2478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79" spans="1:4" x14ac:dyDescent="0.25">
      <c r="A2479" s="3" t="s">
        <v>2481</v>
      </c>
      <c r="B2479" s="4">
        <v>89</v>
      </c>
      <c r="C2479" s="3" t="str">
        <f ca="1">IFERROR(ROWSDUMMYFUNCTION(IF(A2479="","",IFERROR(IMAGE(CONCATENATE("https://us.pandora.net/on/demandware.static/-/Sites-pandora-master-catalog/default/dwbb259ca6/productimages/singlepackshot/",LEFT(A2479,FIND("-",A2479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79" s="5" t="str">
        <f ca="1">IFERROR(ROWSDUMMYFUNCTION(IF(A2479="","",CONCATENATE("https://us.pandora.net/on/demandware.static/-/Sites-pandora-master-catalog/default/dwbb259ca6/productimages/singlepackshot/",LEFT(A2479,FIND("-",A2479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80" spans="1:4" x14ac:dyDescent="0.25">
      <c r="A2480" s="3" t="s">
        <v>2482</v>
      </c>
      <c r="B2480" s="4">
        <v>89</v>
      </c>
      <c r="C2480" s="3" t="str">
        <f ca="1">IFERROR(ROWSDUMMYFUNCTION(IF(A2480="","",IFERROR(IMAGE(CONCATENATE("https://us.pandora.net/on/demandware.static/-/Sites-pandora-master-catalog/default/dwbb259ca6/productimages/singlepackshot/",LEFT(A2480,FIND("-",A2480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80" s="5" t="str">
        <f ca="1">IFERROR(ROWSDUMMYFUNCTION(IF(A2480="","",CONCATENATE("https://us.pandora.net/on/demandware.static/-/Sites-pandora-master-catalog/default/dwbb259ca6/productimages/singlepackshot/",LEFT(A2480,FIND("-",A2480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81" spans="1:4" x14ac:dyDescent="0.25">
      <c r="A2481" s="3" t="s">
        <v>2483</v>
      </c>
      <c r="B2481" s="4">
        <v>89</v>
      </c>
      <c r="C2481" s="3" t="str">
        <f ca="1">IFERROR(ROWSDUMMYFUNCTION(IF(A2481="","",IFERROR(IMAGE(CONCATENATE("https://us.pandora.net/on/demandware.static/-/Sites-pandora-master-catalog/default/dwbb259ca6/productimages/singlepackshot/",LEFT(A2481,FIND("-",A2481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81" s="5" t="str">
        <f ca="1">IFERROR(ROWSDUMMYFUNCTION(IF(A2481="","",CONCATENATE("https://us.pandora.net/on/demandware.static/-/Sites-pandora-master-catalog/default/dwbb259ca6/productimages/singlepackshot/",LEFT(A2481,FIND("-",A2481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82" spans="1:4" x14ac:dyDescent="0.25">
      <c r="A2482" s="3" t="s">
        <v>2484</v>
      </c>
      <c r="B2482" s="4">
        <v>89</v>
      </c>
      <c r="C2482" s="3" t="str">
        <f ca="1">IFERROR(ROWSDUMMYFUNCTION(IF(A2482="","",IFERROR(IMAGE(CONCATENATE("https://us.pandora.net/on/demandware.static/-/Sites-pandora-master-catalog/default/dwbb259ca6/productimages/singlepackshot/",LEFT(A2482,FIND("-",A2482&amp;"-")-1),"_RGB.png")),""))),"{""url"":""https://us.pandora.net/on/demandware.static/-/Sites-pandora-master-catalog/default/dwbb259ca6/productimages/singlepackshot/590784C00_RGB.png"",""mode"":1}")</f>
        <v>{"url":"https://us.pandora.net/on/demandware.static/-/Sites-pandora-master-catalog/default/dwbb259ca6/productimages/singlepackshot/590784C00_RGB.png","mode":1}</v>
      </c>
      <c r="D2482" s="5" t="str">
        <f ca="1">IFERROR(ROWSDUMMYFUNCTION(IF(A2482="","",CONCATENATE("https://us.pandora.net/on/demandware.static/-/Sites-pandora-master-catalog/default/dwbb259ca6/productimages/singlepackshot/",LEFT(A2482,FIND("-",A2482&amp;"-")-1),"_RGB.png"))),"https://us.pandora.net/on/demandware.static/-/Sites-pandora-master-catalog/default/dwbb259ca6/productimages/singlepackshot/590784C00_RGB.png")</f>
        <v>https://us.pandora.net/on/demandware.static/-/Sites-pandora-master-catalog/default/dwbb259ca6/productimages/singlepackshot/590784C00_RGB.png</v>
      </c>
    </row>
    <row r="2483" spans="1:4" x14ac:dyDescent="0.25">
      <c r="A2483" s="3" t="s">
        <v>2485</v>
      </c>
      <c r="B2483" s="4">
        <v>99</v>
      </c>
      <c r="C2483" s="3" t="str">
        <f ca="1">IFERROR(ROWSDUMMYFUNCTION(IF(A2483="","",IFERROR(IMAGE(CONCATENATE("https://us.pandora.net/on/demandware.static/-/Sites-pandora-master-catalog/default/dwbb259ca6/productimages/singlepackshot/",LEFT(A2483,FIND("-",A2483&amp;"-")-1),"_RGB.png")),""))),"{""url"":""https://us.pandora.net/on/demandware.static/-/Sites-pandora-master-catalog/default/dwbb259ca6/productimages/singlepackshot/591469C01_RGB.png"",""mode"":1}")</f>
        <v>{"url":"https://us.pandora.net/on/demandware.static/-/Sites-pandora-master-catalog/default/dwbb259ca6/productimages/singlepackshot/591469C01_RGB.png","mode":1}</v>
      </c>
      <c r="D2483" s="5" t="str">
        <f ca="1">IFERROR(ROWSDUMMYFUNCTION(IF(A2483="","",CONCATENATE("https://us.pandora.net/on/demandware.static/-/Sites-pandora-master-catalog/default/dwbb259ca6/productimages/singlepackshot/",LEFT(A2483,FIND("-",A2483&amp;"-")-1),"_RGB.png"))),"https://us.pandora.net/on/demandware.static/-/Sites-pandora-master-catalog/default/dwbb259ca6/productimages/singlepackshot/591469C01_RGB.png")</f>
        <v>https://us.pandora.net/on/demandware.static/-/Sites-pandora-master-catalog/default/dwbb259ca6/productimages/singlepackshot/591469C01_RGB.png</v>
      </c>
    </row>
    <row r="2484" spans="1:4" x14ac:dyDescent="0.25">
      <c r="A2484" s="3" t="s">
        <v>2486</v>
      </c>
      <c r="B2484" s="4">
        <v>99</v>
      </c>
      <c r="C2484" s="3" t="str">
        <f ca="1">IFERROR(ROWSDUMMYFUNCTION(IF(A2484="","",IFERROR(IMAGE(CONCATENATE("https://us.pandora.net/on/demandware.static/-/Sites-pandora-master-catalog/default/dwbb259ca6/productimages/singlepackshot/",LEFT(A2484,FIND("-",A2484&amp;"-")-1),"_RGB.png")),""))),"{""url"":""https://us.pandora.net/on/demandware.static/-/Sites-pandora-master-catalog/default/dwbb259ca6/productimages/singlepackshot/591469C01_RGB.png"",""mode"":1}")</f>
        <v>{"url":"https://us.pandora.net/on/demandware.static/-/Sites-pandora-master-catalog/default/dwbb259ca6/productimages/singlepackshot/591469C01_RGB.png","mode":1}</v>
      </c>
      <c r="D2484" s="5" t="str">
        <f ca="1">IFERROR(ROWSDUMMYFUNCTION(IF(A2484="","",CONCATENATE("https://us.pandora.net/on/demandware.static/-/Sites-pandora-master-catalog/default/dwbb259ca6/productimages/singlepackshot/",LEFT(A2484,FIND("-",A2484&amp;"-")-1),"_RGB.png"))),"https://us.pandora.net/on/demandware.static/-/Sites-pandora-master-catalog/default/dwbb259ca6/productimages/singlepackshot/591469C01_RGB.png")</f>
        <v>https://us.pandora.net/on/demandware.static/-/Sites-pandora-master-catalog/default/dwbb259ca6/productimages/singlepackshot/591469C01_RGB.png</v>
      </c>
    </row>
    <row r="2485" spans="1:4" x14ac:dyDescent="0.25">
      <c r="A2485" s="3" t="s">
        <v>2487</v>
      </c>
      <c r="B2485" s="4">
        <v>99</v>
      </c>
      <c r="C2485" s="3" t="str">
        <f ca="1">IFERROR(ROWSDUMMYFUNCTION(IF(A2485="","",IFERROR(IMAGE(CONCATENATE("https://us.pandora.net/on/demandware.static/-/Sites-pandora-master-catalog/default/dwbb259ca6/productimages/singlepackshot/",LEFT(A2485,FIND("-",A2485&amp;"-")-1),"_RGB.png")),""))),"{""url"":""https://us.pandora.net/on/demandware.static/-/Sites-pandora-master-catalog/default/dwbb259ca6/productimages/singlepackshot/591469C01_RGB.png"",""mode"":1}")</f>
        <v>{"url":"https://us.pandora.net/on/demandware.static/-/Sites-pandora-master-catalog/default/dwbb259ca6/productimages/singlepackshot/591469C01_RGB.png","mode":1}</v>
      </c>
      <c r="D2485" s="5" t="str">
        <f ca="1">IFERROR(ROWSDUMMYFUNCTION(IF(A2485="","",CONCATENATE("https://us.pandora.net/on/demandware.static/-/Sites-pandora-master-catalog/default/dwbb259ca6/productimages/singlepackshot/",LEFT(A2485,FIND("-",A2485&amp;"-")-1),"_RGB.png"))),"https://us.pandora.net/on/demandware.static/-/Sites-pandora-master-catalog/default/dwbb259ca6/productimages/singlepackshot/591469C01_RGB.png")</f>
        <v>https://us.pandora.net/on/demandware.static/-/Sites-pandora-master-catalog/default/dwbb259ca6/productimages/singlepackshot/591469C01_RGB.png</v>
      </c>
    </row>
    <row r="2486" spans="1:4" x14ac:dyDescent="0.25">
      <c r="A2486" s="3" t="s">
        <v>2488</v>
      </c>
      <c r="B2486" s="4">
        <v>99</v>
      </c>
      <c r="C2486" s="3" t="str">
        <f ca="1">IFERROR(ROWSDUMMYFUNCTION(IF(A2486="","",IFERROR(IMAGE(CONCATENATE("https://us.pandora.net/on/demandware.static/-/Sites-pandora-master-catalog/default/dwbb259ca6/productimages/singlepackshot/",LEFT(A2486,FIND("-",A2486&amp;"-")-1),"_RGB.png")),""))),"{""url"":""https://us.pandora.net/on/demandware.static/-/Sites-pandora-master-catalog/default/dwbb259ca6/productimages/singlepackshot/591469C02_RGB.png"",""mode"":1}")</f>
        <v>{"url":"https://us.pandora.net/on/demandware.static/-/Sites-pandora-master-catalog/default/dwbb259ca6/productimages/singlepackshot/591469C02_RGB.png","mode":1}</v>
      </c>
      <c r="D2486" s="5" t="str">
        <f ca="1">IFERROR(ROWSDUMMYFUNCTION(IF(A2486="","",CONCATENATE("https://us.pandora.net/on/demandware.static/-/Sites-pandora-master-catalog/default/dwbb259ca6/productimages/singlepackshot/",LEFT(A2486,FIND("-",A2486&amp;"-")-1),"_RGB.png"))),"https://us.pandora.net/on/demandware.static/-/Sites-pandora-master-catalog/default/dwbb259ca6/productimages/singlepackshot/591469C02_RGB.png")</f>
        <v>https://us.pandora.net/on/demandware.static/-/Sites-pandora-master-catalog/default/dwbb259ca6/productimages/singlepackshot/591469C02_RGB.png</v>
      </c>
    </row>
    <row r="2487" spans="1:4" x14ac:dyDescent="0.25">
      <c r="A2487" s="3" t="s">
        <v>2489</v>
      </c>
      <c r="B2487" s="4">
        <v>99</v>
      </c>
      <c r="C2487" s="3" t="str">
        <f ca="1">IFERROR(ROWSDUMMYFUNCTION(IF(A2487="","",IFERROR(IMAGE(CONCATENATE("https://us.pandora.net/on/demandware.static/-/Sites-pandora-master-catalog/default/dwbb259ca6/productimages/singlepackshot/",LEFT(A2487,FIND("-",A2487&amp;"-")-1),"_RGB.png")),""))),"{""url"":""https://us.pandora.net/on/demandware.static/-/Sites-pandora-master-catalog/default/dwbb259ca6/productimages/singlepackshot/591469C02_RGB.png"",""mode"":1}")</f>
        <v>{"url":"https://us.pandora.net/on/demandware.static/-/Sites-pandora-master-catalog/default/dwbb259ca6/productimages/singlepackshot/591469C02_RGB.png","mode":1}</v>
      </c>
      <c r="D2487" s="5" t="str">
        <f ca="1">IFERROR(ROWSDUMMYFUNCTION(IF(A2487="","",CONCATENATE("https://us.pandora.net/on/demandware.static/-/Sites-pandora-master-catalog/default/dwbb259ca6/productimages/singlepackshot/",LEFT(A2487,FIND("-",A2487&amp;"-")-1),"_RGB.png"))),"https://us.pandora.net/on/demandware.static/-/Sites-pandora-master-catalog/default/dwbb259ca6/productimages/singlepackshot/591469C02_RGB.png")</f>
        <v>https://us.pandora.net/on/demandware.static/-/Sites-pandora-master-catalog/default/dwbb259ca6/productimages/singlepackshot/591469C02_RGB.png</v>
      </c>
    </row>
    <row r="2488" spans="1:4" x14ac:dyDescent="0.25">
      <c r="A2488" s="3" t="s">
        <v>2490</v>
      </c>
      <c r="B2488" s="4">
        <v>99</v>
      </c>
      <c r="C2488" s="3" t="str">
        <f ca="1">IFERROR(ROWSDUMMYFUNCTION(IF(A2488="","",IFERROR(IMAGE(CONCATENATE("https://us.pandora.net/on/demandware.static/-/Sites-pandora-master-catalog/default/dwbb259ca6/productimages/singlepackshot/",LEFT(A2488,FIND("-",A2488&amp;"-")-1),"_RGB.png")),""))),"{""url"":""https://us.pandora.net/on/demandware.static/-/Sites-pandora-master-catalog/default/dwbb259ca6/productimages/singlepackshot/591469C02_RGB.png"",""mode"":1}")</f>
        <v>{"url":"https://us.pandora.net/on/demandware.static/-/Sites-pandora-master-catalog/default/dwbb259ca6/productimages/singlepackshot/591469C02_RGB.png","mode":1}</v>
      </c>
      <c r="D2488" s="5" t="str">
        <f ca="1">IFERROR(ROWSDUMMYFUNCTION(IF(A2488="","",CONCATENATE("https://us.pandora.net/on/demandware.static/-/Sites-pandora-master-catalog/default/dwbb259ca6/productimages/singlepackshot/",LEFT(A2488,FIND("-",A2488&amp;"-")-1),"_RGB.png"))),"https://us.pandora.net/on/demandware.static/-/Sites-pandora-master-catalog/default/dwbb259ca6/productimages/singlepackshot/591469C02_RGB.png")</f>
        <v>https://us.pandora.net/on/demandware.static/-/Sites-pandora-master-catalog/default/dwbb259ca6/productimages/singlepackshot/591469C02_RGB.png</v>
      </c>
    </row>
    <row r="2489" spans="1:4" x14ac:dyDescent="0.25">
      <c r="A2489" s="3" t="s">
        <v>2491</v>
      </c>
      <c r="B2489" s="4">
        <v>99</v>
      </c>
      <c r="C2489" s="3" t="str">
        <f ca="1">IFERROR(ROWSDUMMYFUNCTION(IF(A2489="","",IFERROR(IMAGE(CONCATENATE("https://us.pandora.net/on/demandware.static/-/Sites-pandora-master-catalog/default/dwbb259ca6/productimages/singlepackshot/",LEFT(A2489,FIND("-",A2489&amp;"-")-1),"_RGB.png")),""))),"{""url"":""https://us.pandora.net/on/demandware.static/-/Sites-pandora-master-catalog/default/dwbb259ca6/productimages/singlepackshot/591469C03_RGB.png"",""mode"":1}")</f>
        <v>{"url":"https://us.pandora.net/on/demandware.static/-/Sites-pandora-master-catalog/default/dwbb259ca6/productimages/singlepackshot/591469C03_RGB.png","mode":1}</v>
      </c>
      <c r="D2489" s="5" t="str">
        <f ca="1">IFERROR(ROWSDUMMYFUNCTION(IF(A2489="","",CONCATENATE("https://us.pandora.net/on/demandware.static/-/Sites-pandora-master-catalog/default/dwbb259ca6/productimages/singlepackshot/",LEFT(A2489,FIND("-",A2489&amp;"-")-1),"_RGB.png"))),"https://us.pandora.net/on/demandware.static/-/Sites-pandora-master-catalog/default/dwbb259ca6/productimages/singlepackshot/591469C03_RGB.png")</f>
        <v>https://us.pandora.net/on/demandware.static/-/Sites-pandora-master-catalog/default/dwbb259ca6/productimages/singlepackshot/591469C03_RGB.png</v>
      </c>
    </row>
    <row r="2490" spans="1:4" x14ac:dyDescent="0.25">
      <c r="A2490" s="3" t="s">
        <v>2492</v>
      </c>
      <c r="B2490" s="4">
        <v>99</v>
      </c>
      <c r="C2490" s="3" t="str">
        <f ca="1">IFERROR(ROWSDUMMYFUNCTION(IF(A2490="","",IFERROR(IMAGE(CONCATENATE("https://us.pandora.net/on/demandware.static/-/Sites-pandora-master-catalog/default/dwbb259ca6/productimages/singlepackshot/",LEFT(A2490,FIND("-",A2490&amp;"-")-1),"_RGB.png")),""))),"{""url"":""https://us.pandora.net/on/demandware.static/-/Sites-pandora-master-catalog/default/dwbb259ca6/productimages/singlepackshot/591469C03_RGB.png"",""mode"":1}")</f>
        <v>{"url":"https://us.pandora.net/on/demandware.static/-/Sites-pandora-master-catalog/default/dwbb259ca6/productimages/singlepackshot/591469C03_RGB.png","mode":1}</v>
      </c>
      <c r="D2490" s="5" t="str">
        <f ca="1">IFERROR(ROWSDUMMYFUNCTION(IF(A2490="","",CONCATENATE("https://us.pandora.net/on/demandware.static/-/Sites-pandora-master-catalog/default/dwbb259ca6/productimages/singlepackshot/",LEFT(A2490,FIND("-",A2490&amp;"-")-1),"_RGB.png"))),"https://us.pandora.net/on/demandware.static/-/Sites-pandora-master-catalog/default/dwbb259ca6/productimages/singlepackshot/591469C03_RGB.png")</f>
        <v>https://us.pandora.net/on/demandware.static/-/Sites-pandora-master-catalog/default/dwbb259ca6/productimages/singlepackshot/591469C03_RGB.png</v>
      </c>
    </row>
    <row r="2491" spans="1:4" x14ac:dyDescent="0.25">
      <c r="A2491" s="3" t="s">
        <v>2493</v>
      </c>
      <c r="B2491" s="4">
        <v>99</v>
      </c>
      <c r="C2491" s="3" t="str">
        <f ca="1">IFERROR(ROWSDUMMYFUNCTION(IF(A2491="","",IFERROR(IMAGE(CONCATENATE("https://us.pandora.net/on/demandware.static/-/Sites-pandora-master-catalog/default/dwbb259ca6/productimages/singlepackshot/",LEFT(A2491,FIND("-",A2491&amp;"-")-1),"_RGB.png")),""))),"{""url"":""https://us.pandora.net/on/demandware.static/-/Sites-pandora-master-catalog/default/dwbb259ca6/productimages/singlepackshot/591469C03_RGB.png"",""mode"":1}")</f>
        <v>{"url":"https://us.pandora.net/on/demandware.static/-/Sites-pandora-master-catalog/default/dwbb259ca6/productimages/singlepackshot/591469C03_RGB.png","mode":1}</v>
      </c>
      <c r="D2491" s="5" t="str">
        <f ca="1">IFERROR(ROWSDUMMYFUNCTION(IF(A2491="","",CONCATENATE("https://us.pandora.net/on/demandware.static/-/Sites-pandora-master-catalog/default/dwbb259ca6/productimages/singlepackshot/",LEFT(A2491,FIND("-",A2491&amp;"-")-1),"_RGB.png"))),"https://us.pandora.net/on/demandware.static/-/Sites-pandora-master-catalog/default/dwbb259ca6/productimages/singlepackshot/591469C03_RGB.png")</f>
        <v>https://us.pandora.net/on/demandware.static/-/Sites-pandora-master-catalog/default/dwbb259ca6/productimages/singlepackshot/591469C03_RGB.png</v>
      </c>
    </row>
    <row r="2492" spans="1:4" x14ac:dyDescent="0.25">
      <c r="A2492" s="3" t="s">
        <v>2494</v>
      </c>
      <c r="B2492" s="4">
        <v>99</v>
      </c>
      <c r="C2492" s="3" t="str">
        <f ca="1">IFERROR(ROWSDUMMYFUNCTION(IF(A2492="","",IFERROR(IMAGE(CONCATENATE("https://us.pandora.net/on/demandware.static/-/Sites-pandora-master-catalog/default/dwbb259ca6/productimages/singlepackshot/",LEFT(A2492,FIND("-",A2492&amp;"-")-1),"_RGB.png")),""))),"{""url"":""https://us.pandora.net/on/demandware.static/-/Sites-pandora-master-catalog/default/dwbb259ca6/productimages/singlepackshot/591469C04_RGB.png"",""mode"":1}")</f>
        <v>{"url":"https://us.pandora.net/on/demandware.static/-/Sites-pandora-master-catalog/default/dwbb259ca6/productimages/singlepackshot/591469C04_RGB.png","mode":1}</v>
      </c>
      <c r="D2492" s="5" t="str">
        <f ca="1">IFERROR(ROWSDUMMYFUNCTION(IF(A2492="","",CONCATENATE("https://us.pandora.net/on/demandware.static/-/Sites-pandora-master-catalog/default/dwbb259ca6/productimages/singlepackshot/",LEFT(A2492,FIND("-",A2492&amp;"-")-1),"_RGB.png"))),"https://us.pandora.net/on/demandware.static/-/Sites-pandora-master-catalog/default/dwbb259ca6/productimages/singlepackshot/591469C04_RGB.png")</f>
        <v>https://us.pandora.net/on/demandware.static/-/Sites-pandora-master-catalog/default/dwbb259ca6/productimages/singlepackshot/591469C04_RGB.png</v>
      </c>
    </row>
    <row r="2493" spans="1:4" x14ac:dyDescent="0.25">
      <c r="A2493" s="3" t="s">
        <v>2495</v>
      </c>
      <c r="B2493" s="4">
        <v>99</v>
      </c>
      <c r="C2493" s="3" t="str">
        <f ca="1">IFERROR(ROWSDUMMYFUNCTION(IF(A2493="","",IFERROR(IMAGE(CONCATENATE("https://us.pandora.net/on/demandware.static/-/Sites-pandora-master-catalog/default/dwbb259ca6/productimages/singlepackshot/",LEFT(A2493,FIND("-",A2493&amp;"-")-1),"_RGB.png")),""))),"{""url"":""https://us.pandora.net/on/demandware.static/-/Sites-pandora-master-catalog/default/dwbb259ca6/productimages/singlepackshot/591469C04_RGB.png"",""mode"":1}")</f>
        <v>{"url":"https://us.pandora.net/on/demandware.static/-/Sites-pandora-master-catalog/default/dwbb259ca6/productimages/singlepackshot/591469C04_RGB.png","mode":1}</v>
      </c>
      <c r="D2493" s="5" t="str">
        <f ca="1">IFERROR(ROWSDUMMYFUNCTION(IF(A2493="","",CONCATENATE("https://us.pandora.net/on/demandware.static/-/Sites-pandora-master-catalog/default/dwbb259ca6/productimages/singlepackshot/",LEFT(A2493,FIND("-",A2493&amp;"-")-1),"_RGB.png"))),"https://us.pandora.net/on/demandware.static/-/Sites-pandora-master-catalog/default/dwbb259ca6/productimages/singlepackshot/591469C04_RGB.png")</f>
        <v>https://us.pandora.net/on/demandware.static/-/Sites-pandora-master-catalog/default/dwbb259ca6/productimages/singlepackshot/591469C04_RGB.png</v>
      </c>
    </row>
    <row r="2494" spans="1:4" x14ac:dyDescent="0.25">
      <c r="A2494" s="3" t="s">
        <v>2496</v>
      </c>
      <c r="B2494" s="4">
        <v>99</v>
      </c>
      <c r="C2494" s="3" t="str">
        <f ca="1">IFERROR(ROWSDUMMYFUNCTION(IF(A2494="","",IFERROR(IMAGE(CONCATENATE("https://us.pandora.net/on/demandware.static/-/Sites-pandora-master-catalog/default/dwbb259ca6/productimages/singlepackshot/",LEFT(A2494,FIND("-",A2494&amp;"-")-1),"_RGB.png")),""))),"{""url"":""https://us.pandora.net/on/demandware.static/-/Sites-pandora-master-catalog/default/dwbb259ca6/productimages/singlepackshot/591469C04_RGB.png"",""mode"":1}")</f>
        <v>{"url":"https://us.pandora.net/on/demandware.static/-/Sites-pandora-master-catalog/default/dwbb259ca6/productimages/singlepackshot/591469C04_RGB.png","mode":1}</v>
      </c>
      <c r="D2494" s="5" t="str">
        <f ca="1">IFERROR(ROWSDUMMYFUNCTION(IF(A2494="","",CONCATENATE("https://us.pandora.net/on/demandware.static/-/Sites-pandora-master-catalog/default/dwbb259ca6/productimages/singlepackshot/",LEFT(A2494,FIND("-",A2494&amp;"-")-1),"_RGB.png"))),"https://us.pandora.net/on/demandware.static/-/Sites-pandora-master-catalog/default/dwbb259ca6/productimages/singlepackshot/591469C04_RGB.png")</f>
        <v>https://us.pandora.net/on/demandware.static/-/Sites-pandora-master-catalog/default/dwbb259ca6/productimages/singlepackshot/591469C04_RGB.png</v>
      </c>
    </row>
    <row r="2495" spans="1:4" x14ac:dyDescent="0.25">
      <c r="A2495" s="3" t="s">
        <v>2497</v>
      </c>
      <c r="B2495" s="4">
        <v>99</v>
      </c>
      <c r="C2495" s="3" t="str">
        <f ca="1">IFERROR(ROWSDUMMYFUNCTION(IF(A2495="","",IFERROR(IMAGE(CONCATENATE("https://us.pandora.net/on/demandware.static/-/Sites-pandora-master-catalog/default/dwbb259ca6/productimages/singlepackshot/",LEFT(A2495,FIND("-",A2495&amp;"-")-1),"_RGB.png")),""))),"{""url"":""https://us.pandora.net/on/demandware.static/-/Sites-pandora-master-catalog/default/dwbb259ca6/productimages/singlepackshot/591683C01_RGB.png"",""mode"":1}")</f>
        <v>{"url":"https://us.pandora.net/on/demandware.static/-/Sites-pandora-master-catalog/default/dwbb259ca6/productimages/singlepackshot/591683C01_RGB.png","mode":1}</v>
      </c>
      <c r="D2495" s="5" t="str">
        <f ca="1">IFERROR(ROWSDUMMYFUNCTION(IF(A2495="","",CONCATENATE("https://us.pandora.net/on/demandware.static/-/Sites-pandora-master-catalog/default/dwbb259ca6/productimages/singlepackshot/",LEFT(A2495,FIND("-",A2495&amp;"-")-1),"_RGB.png"))),"https://us.pandora.net/on/demandware.static/-/Sites-pandora-master-catalog/default/dwbb259ca6/productimages/singlepackshot/591683C01_RGB.png")</f>
        <v>https://us.pandora.net/on/demandware.static/-/Sites-pandora-master-catalog/default/dwbb259ca6/productimages/singlepackshot/591683C01_RGB.png</v>
      </c>
    </row>
    <row r="2496" spans="1:4" x14ac:dyDescent="0.25">
      <c r="A2496" s="3" t="s">
        <v>2498</v>
      </c>
      <c r="B2496" s="4">
        <v>99</v>
      </c>
      <c r="C2496" s="3" t="str">
        <f ca="1">IFERROR(ROWSDUMMYFUNCTION(IF(A2496="","",IFERROR(IMAGE(CONCATENATE("https://us.pandora.net/on/demandware.static/-/Sites-pandora-master-catalog/default/dwbb259ca6/productimages/singlepackshot/",LEFT(A2496,FIND("-",A2496&amp;"-")-1),"_RGB.png")),""))),"{""url"":""https://us.pandora.net/on/demandware.static/-/Sites-pandora-master-catalog/default/dwbb259ca6/productimages/singlepackshot/591683C01_RGB.png"",""mode"":1}")</f>
        <v>{"url":"https://us.pandora.net/on/demandware.static/-/Sites-pandora-master-catalog/default/dwbb259ca6/productimages/singlepackshot/591683C01_RGB.png","mode":1}</v>
      </c>
      <c r="D2496" s="5" t="str">
        <f ca="1">IFERROR(ROWSDUMMYFUNCTION(IF(A2496="","",CONCATENATE("https://us.pandora.net/on/demandware.static/-/Sites-pandora-master-catalog/default/dwbb259ca6/productimages/singlepackshot/",LEFT(A2496,FIND("-",A2496&amp;"-")-1),"_RGB.png"))),"https://us.pandora.net/on/demandware.static/-/Sites-pandora-master-catalog/default/dwbb259ca6/productimages/singlepackshot/591683C01_RGB.png")</f>
        <v>https://us.pandora.net/on/demandware.static/-/Sites-pandora-master-catalog/default/dwbb259ca6/productimages/singlepackshot/591683C01_RGB.png</v>
      </c>
    </row>
    <row r="2497" spans="1:4" x14ac:dyDescent="0.25">
      <c r="A2497" s="3" t="s">
        <v>2499</v>
      </c>
      <c r="B2497" s="4">
        <v>99</v>
      </c>
      <c r="C2497" s="3" t="str">
        <f ca="1">IFERROR(ROWSDUMMYFUNCTION(IF(A2497="","",IFERROR(IMAGE(CONCATENATE("https://us.pandora.net/on/demandware.static/-/Sites-pandora-master-catalog/default/dwbb259ca6/productimages/singlepackshot/",LEFT(A2497,FIND("-",A2497&amp;"-")-1),"_RGB.png")),""))),"{""url"":""https://us.pandora.net/on/demandware.static/-/Sites-pandora-master-catalog/default/dwbb259ca6/productimages/singlepackshot/591683C01_RGB.png"",""mode"":1}")</f>
        <v>{"url":"https://us.pandora.net/on/demandware.static/-/Sites-pandora-master-catalog/default/dwbb259ca6/productimages/singlepackshot/591683C01_RGB.png","mode":1}</v>
      </c>
      <c r="D2497" s="5" t="str">
        <f ca="1">IFERROR(ROWSDUMMYFUNCTION(IF(A2497="","",CONCATENATE("https://us.pandora.net/on/demandware.static/-/Sites-pandora-master-catalog/default/dwbb259ca6/productimages/singlepackshot/",LEFT(A2497,FIND("-",A2497&amp;"-")-1),"_RGB.png"))),"https://us.pandora.net/on/demandware.static/-/Sites-pandora-master-catalog/default/dwbb259ca6/productimages/singlepackshot/591683C01_RGB.png")</f>
        <v>https://us.pandora.net/on/demandware.static/-/Sites-pandora-master-catalog/default/dwbb259ca6/productimages/singlepackshot/591683C01_RGB.png</v>
      </c>
    </row>
    <row r="2498" spans="1:4" x14ac:dyDescent="0.25">
      <c r="A2498" s="3" t="s">
        <v>2500</v>
      </c>
      <c r="B2498" s="4">
        <v>99</v>
      </c>
      <c r="C2498" s="3" t="str">
        <f ca="1">IFERROR(ROWSDUMMYFUNCTION(IF(A2498="","",IFERROR(IMAGE(CONCATENATE("https://us.pandora.net/on/demandware.static/-/Sites-pandora-master-catalog/default/dwbb259ca6/productimages/singlepackshot/",LEFT(A2498,FIND("-",A2498&amp;"-")-1),"_RGB.png")),""))),"{""url"":""https://us.pandora.net/on/demandware.static/-/Sites-pandora-master-catalog/default/dwbb259ca6/productimages/singlepackshot/592313C01_RGB.png"",""mode"":1}")</f>
        <v>{"url":"https://us.pandora.net/on/demandware.static/-/Sites-pandora-master-catalog/default/dwbb259ca6/productimages/singlepackshot/592313C01_RGB.png","mode":1}</v>
      </c>
      <c r="D2498" s="5" t="str">
        <f ca="1">IFERROR(ROWSDUMMYFUNCTION(IF(A2498="","",CONCATENATE("https://us.pandora.net/on/demandware.static/-/Sites-pandora-master-catalog/default/dwbb259ca6/productimages/singlepackshot/",LEFT(A2498,FIND("-",A2498&amp;"-")-1),"_RGB.png"))),"https://us.pandora.net/on/demandware.static/-/Sites-pandora-master-catalog/default/dwbb259ca6/productimages/singlepackshot/592313C01_RGB.png")</f>
        <v>https://us.pandora.net/on/demandware.static/-/Sites-pandora-master-catalog/default/dwbb259ca6/productimages/singlepackshot/592313C01_RGB.png</v>
      </c>
    </row>
    <row r="2499" spans="1:4" x14ac:dyDescent="0.25">
      <c r="A2499" s="3" t="s">
        <v>2501</v>
      </c>
      <c r="B2499" s="4">
        <v>99</v>
      </c>
      <c r="C2499" s="3" t="str">
        <f ca="1">IFERROR(ROWSDUMMYFUNCTION(IF(A2499="","",IFERROR(IMAGE(CONCATENATE("https://us.pandora.net/on/demandware.static/-/Sites-pandora-master-catalog/default/dwbb259ca6/productimages/singlepackshot/",LEFT(A2499,FIND("-",A2499&amp;"-")-1),"_RGB.png")),""))),"{""url"":""https://us.pandora.net/on/demandware.static/-/Sites-pandora-master-catalog/default/dwbb259ca6/productimages/singlepackshot/592313C01_RGB.png"",""mode"":1}")</f>
        <v>{"url":"https://us.pandora.net/on/demandware.static/-/Sites-pandora-master-catalog/default/dwbb259ca6/productimages/singlepackshot/592313C01_RGB.png","mode":1}</v>
      </c>
      <c r="D2499" s="5" t="str">
        <f ca="1">IFERROR(ROWSDUMMYFUNCTION(IF(A2499="","",CONCATENATE("https://us.pandora.net/on/demandware.static/-/Sites-pandora-master-catalog/default/dwbb259ca6/productimages/singlepackshot/",LEFT(A2499,FIND("-",A2499&amp;"-")-1),"_RGB.png"))),"https://us.pandora.net/on/demandware.static/-/Sites-pandora-master-catalog/default/dwbb259ca6/productimages/singlepackshot/592313C01_RGB.png")</f>
        <v>https://us.pandora.net/on/demandware.static/-/Sites-pandora-master-catalog/default/dwbb259ca6/productimages/singlepackshot/592313C01_RGB.png</v>
      </c>
    </row>
    <row r="2500" spans="1:4" x14ac:dyDescent="0.25">
      <c r="A2500" s="3" t="s">
        <v>2502</v>
      </c>
      <c r="B2500" s="4">
        <v>99</v>
      </c>
      <c r="C2500" s="3" t="str">
        <f ca="1">IFERROR(ROWSDUMMYFUNCTION(IF(A2500="","",IFERROR(IMAGE(CONCATENATE("https://us.pandora.net/on/demandware.static/-/Sites-pandora-master-catalog/default/dwbb259ca6/productimages/singlepackshot/",LEFT(A2500,FIND("-",A2500&amp;"-")-1),"_RGB.png")),""))),"{""url"":""https://us.pandora.net/on/demandware.static/-/Sites-pandora-master-catalog/default/dwbb259ca6/productimages/singlepackshot/592313C01_RGB.png"",""mode"":1}")</f>
        <v>{"url":"https://us.pandora.net/on/demandware.static/-/Sites-pandora-master-catalog/default/dwbb259ca6/productimages/singlepackshot/592313C01_RGB.png","mode":1}</v>
      </c>
      <c r="D2500" s="5" t="str">
        <f ca="1">IFERROR(ROWSDUMMYFUNCTION(IF(A2500="","",CONCATENATE("https://us.pandora.net/on/demandware.static/-/Sites-pandora-master-catalog/default/dwbb259ca6/productimages/singlepackshot/",LEFT(A2500,FIND("-",A2500&amp;"-")-1),"_RGB.png"))),"https://us.pandora.net/on/demandware.static/-/Sites-pandora-master-catalog/default/dwbb259ca6/productimages/singlepackshot/592313C01_RGB.png")</f>
        <v>https://us.pandora.net/on/demandware.static/-/Sites-pandora-master-catalog/default/dwbb259ca6/productimages/singlepackshot/592313C01_RGB.png</v>
      </c>
    </row>
    <row r="2501" spans="1:4" x14ac:dyDescent="0.25">
      <c r="A2501" s="3" t="s">
        <v>2503</v>
      </c>
      <c r="B2501" s="4">
        <v>99</v>
      </c>
      <c r="C2501" s="3" t="str">
        <f ca="1">IFERROR(ROWSDUMMYFUNCTION(IF(A2501="","",IFERROR(IMAGE(CONCATENATE("https://us.pandora.net/on/demandware.static/-/Sites-pandora-master-catalog/default/dwbb259ca6/productimages/singlepackshot/",LEFT(A2501,FIND("-",A2501&amp;"-")-1),"_RGB.png")),""))),"{""url"":""https://us.pandora.net/on/demandware.static/-/Sites-pandora-master-catalog/default/dwbb259ca6/productimages/singlepackshot/592324C01_RGB.png"",""mode"":1}")</f>
        <v>{"url":"https://us.pandora.net/on/demandware.static/-/Sites-pandora-master-catalog/default/dwbb259ca6/productimages/singlepackshot/592324C01_RGB.png","mode":1}</v>
      </c>
      <c r="D2501" s="5" t="str">
        <f ca="1">IFERROR(ROWSDUMMYFUNCTION(IF(A2501="","",CONCATENATE("https://us.pandora.net/on/demandware.static/-/Sites-pandora-master-catalog/default/dwbb259ca6/productimages/singlepackshot/",LEFT(A2501,FIND("-",A2501&amp;"-")-1),"_RGB.png"))),"https://us.pandora.net/on/demandware.static/-/Sites-pandora-master-catalog/default/dwbb259ca6/productimages/singlepackshot/592324C01_RGB.png")</f>
        <v>https://us.pandora.net/on/demandware.static/-/Sites-pandora-master-catalog/default/dwbb259ca6/productimages/singlepackshot/592324C01_RGB.png</v>
      </c>
    </row>
    <row r="2502" spans="1:4" x14ac:dyDescent="0.25">
      <c r="A2502" s="3" t="s">
        <v>2504</v>
      </c>
      <c r="B2502" s="4">
        <v>99</v>
      </c>
      <c r="C2502" s="3" t="str">
        <f ca="1">IFERROR(ROWSDUMMYFUNCTION(IF(A2502="","",IFERROR(IMAGE(CONCATENATE("https://us.pandora.net/on/demandware.static/-/Sites-pandora-master-catalog/default/dwbb259ca6/productimages/singlepackshot/",LEFT(A2502,FIND("-",A2502&amp;"-")-1),"_RGB.png")),""))),"{""url"":""https://us.pandora.net/on/demandware.static/-/Sites-pandora-master-catalog/default/dwbb259ca6/productimages/singlepackshot/592324C01_RGB.png"",""mode"":1}")</f>
        <v>{"url":"https://us.pandora.net/on/demandware.static/-/Sites-pandora-master-catalog/default/dwbb259ca6/productimages/singlepackshot/592324C01_RGB.png","mode":1}</v>
      </c>
      <c r="D2502" s="5" t="str">
        <f ca="1">IFERROR(ROWSDUMMYFUNCTION(IF(A2502="","",CONCATENATE("https://us.pandora.net/on/demandware.static/-/Sites-pandora-master-catalog/default/dwbb259ca6/productimages/singlepackshot/",LEFT(A2502,FIND("-",A2502&amp;"-")-1),"_RGB.png"))),"https://us.pandora.net/on/demandware.static/-/Sites-pandora-master-catalog/default/dwbb259ca6/productimages/singlepackshot/592324C01_RGB.png")</f>
        <v>https://us.pandora.net/on/demandware.static/-/Sites-pandora-master-catalog/default/dwbb259ca6/productimages/singlepackshot/592324C01_RGB.png</v>
      </c>
    </row>
    <row r="2503" spans="1:4" x14ac:dyDescent="0.25">
      <c r="A2503" s="3" t="s">
        <v>2505</v>
      </c>
      <c r="B2503" s="4">
        <v>99</v>
      </c>
      <c r="C2503" s="3" t="str">
        <f ca="1">IFERROR(ROWSDUMMYFUNCTION(IF(A2503="","",IFERROR(IMAGE(CONCATENATE("https://us.pandora.net/on/demandware.static/-/Sites-pandora-master-catalog/default/dwbb259ca6/productimages/singlepackshot/",LEFT(A2503,FIND("-",A2503&amp;"-")-1),"_RGB.png")),""))),"{""url"":""https://us.pandora.net/on/demandware.static/-/Sites-pandora-master-catalog/default/dwbb259ca6/productimages/singlepackshot/592324C01_RGB.png"",""mode"":1}")</f>
        <v>{"url":"https://us.pandora.net/on/demandware.static/-/Sites-pandora-master-catalog/default/dwbb259ca6/productimages/singlepackshot/592324C01_RGB.png","mode":1}</v>
      </c>
      <c r="D2503" s="5" t="str">
        <f ca="1">IFERROR(ROWSDUMMYFUNCTION(IF(A2503="","",CONCATENATE("https://us.pandora.net/on/demandware.static/-/Sites-pandora-master-catalog/default/dwbb259ca6/productimages/singlepackshot/",LEFT(A2503,FIND("-",A2503&amp;"-")-1),"_RGB.png"))),"https://us.pandora.net/on/demandware.static/-/Sites-pandora-master-catalog/default/dwbb259ca6/productimages/singlepackshot/592324C01_RGB.png")</f>
        <v>https://us.pandora.net/on/demandware.static/-/Sites-pandora-master-catalog/default/dwbb259ca6/productimages/singlepackshot/592324C01_RGB.png</v>
      </c>
    </row>
    <row r="2504" spans="1:4" x14ac:dyDescent="0.25">
      <c r="A2504" s="3" t="s">
        <v>2506</v>
      </c>
      <c r="B2504" s="4">
        <v>59</v>
      </c>
      <c r="C2504" s="3" t="str">
        <f ca="1">IFERROR(ROWSDUMMYFUNCTION(IF(A2504="","",IFERROR(IMAGE(CONCATENATE("https://us.pandora.net/on/demandware.static/-/Sites-pandora-master-catalog/default/dwbb259ca6/productimages/singlepackshot/",LEFT(A2504,FIND("-",A2504&amp;"-")-1),"_RGB.png")),""))),"{""url"":""https://us.pandora.net/on/demandware.static/-/Sites-pandora-master-catalog/default/dwbb259ca6/productimages/singlepackshot/592340C00_RGB.png"",""mode"":1}")</f>
        <v>{"url":"https://us.pandora.net/on/demandware.static/-/Sites-pandora-master-catalog/default/dwbb259ca6/productimages/singlepackshot/592340C00_RGB.png","mode":1}</v>
      </c>
      <c r="D2504" s="5" t="str">
        <f ca="1">IFERROR(ROWSDUMMYFUNCTION(IF(A2504="","",CONCATENATE("https://us.pandora.net/on/demandware.static/-/Sites-pandora-master-catalog/default/dwbb259ca6/productimages/singlepackshot/",LEFT(A2504,FIND("-",A2504&amp;"-")-1),"_RGB.png"))),"https://us.pandora.net/on/demandware.static/-/Sites-pandora-master-catalog/default/dwbb259ca6/productimages/singlepackshot/592340C00_RGB.png")</f>
        <v>https://us.pandora.net/on/demandware.static/-/Sites-pandora-master-catalog/default/dwbb259ca6/productimages/singlepackshot/592340C00_RGB.png</v>
      </c>
    </row>
    <row r="2505" spans="1:4" x14ac:dyDescent="0.25">
      <c r="A2505" s="3" t="s">
        <v>2507</v>
      </c>
      <c r="B2505" s="4">
        <v>59</v>
      </c>
      <c r="C2505" s="3" t="str">
        <f ca="1">IFERROR(ROWSDUMMYFUNCTION(IF(A2505="","",IFERROR(IMAGE(CONCATENATE("https://us.pandora.net/on/demandware.static/-/Sites-pandora-master-catalog/default/dwbb259ca6/productimages/singlepackshot/",LEFT(A2505,FIND("-",A2505&amp;"-")-1),"_RGB.png")),""))),"{""url"":""https://us.pandora.net/on/demandware.static/-/Sites-pandora-master-catalog/default/dwbb259ca6/productimages/singlepackshot/592340C00_RGB.png"",""mode"":1}")</f>
        <v>{"url":"https://us.pandora.net/on/demandware.static/-/Sites-pandora-master-catalog/default/dwbb259ca6/productimages/singlepackshot/592340C00_RGB.png","mode":1}</v>
      </c>
      <c r="D2505" s="5" t="str">
        <f ca="1">IFERROR(ROWSDUMMYFUNCTION(IF(A2505="","",CONCATENATE("https://us.pandora.net/on/demandware.static/-/Sites-pandora-master-catalog/default/dwbb259ca6/productimages/singlepackshot/",LEFT(A2505,FIND("-",A2505&amp;"-")-1),"_RGB.png"))),"https://us.pandora.net/on/demandware.static/-/Sites-pandora-master-catalog/default/dwbb259ca6/productimages/singlepackshot/592340C00_RGB.png")</f>
        <v>https://us.pandora.net/on/demandware.static/-/Sites-pandora-master-catalog/default/dwbb259ca6/productimages/singlepackshot/592340C00_RGB.png</v>
      </c>
    </row>
    <row r="2506" spans="1:4" x14ac:dyDescent="0.25">
      <c r="A2506" s="3" t="s">
        <v>2508</v>
      </c>
      <c r="B2506" s="4">
        <v>59</v>
      </c>
      <c r="C2506" s="3" t="str">
        <f ca="1">IFERROR(ROWSDUMMYFUNCTION(IF(A2506="","",IFERROR(IMAGE(CONCATENATE("https://us.pandora.net/on/demandware.static/-/Sites-pandora-master-catalog/default/dwbb259ca6/productimages/singlepackshot/",LEFT(A2506,FIND("-",A2506&amp;"-")-1),"_RGB.png")),""))),"{""url"":""https://us.pandora.net/on/demandware.static/-/Sites-pandora-master-catalog/default/dwbb259ca6/productimages/singlepackshot/592340C00_RGB.png"",""mode"":1}")</f>
        <v>{"url":"https://us.pandora.net/on/demandware.static/-/Sites-pandora-master-catalog/default/dwbb259ca6/productimages/singlepackshot/592340C00_RGB.png","mode":1}</v>
      </c>
      <c r="D2506" s="5" t="str">
        <f ca="1">IFERROR(ROWSDUMMYFUNCTION(IF(A2506="","",CONCATENATE("https://us.pandora.net/on/demandware.static/-/Sites-pandora-master-catalog/default/dwbb259ca6/productimages/singlepackshot/",LEFT(A2506,FIND("-",A2506&amp;"-")-1),"_RGB.png"))),"https://us.pandora.net/on/demandware.static/-/Sites-pandora-master-catalog/default/dwbb259ca6/productimages/singlepackshot/592340C00_RGB.png")</f>
        <v>https://us.pandora.net/on/demandware.static/-/Sites-pandora-master-catalog/default/dwbb259ca6/productimages/singlepackshot/592340C00_RGB.png</v>
      </c>
    </row>
    <row r="2507" spans="1:4" x14ac:dyDescent="0.25">
      <c r="A2507" s="3" t="s">
        <v>2509</v>
      </c>
      <c r="B2507" s="4">
        <v>59</v>
      </c>
      <c r="C2507" s="3" t="str">
        <f ca="1">IFERROR(ROWSDUMMYFUNCTION(IF(A2507="","",IFERROR(IMAGE(CONCATENATE("https://us.pandora.net/on/demandware.static/-/Sites-pandora-master-catalog/default/dwbb259ca6/productimages/singlepackshot/",LEFT(A2507,FIND("-",A2507&amp;"-")-1),"_RGB.png")),""))),"{""url"":""https://us.pandora.net/on/demandware.static/-/Sites-pandora-master-catalog/default/dwbb259ca6/productimages/singlepackshot/592340C00_RGB.png"",""mode"":1}")</f>
        <v>{"url":"https://us.pandora.net/on/demandware.static/-/Sites-pandora-master-catalog/default/dwbb259ca6/productimages/singlepackshot/592340C00_RGB.png","mode":1}</v>
      </c>
      <c r="D2507" s="5" t="str">
        <f ca="1">IFERROR(ROWSDUMMYFUNCTION(IF(A2507="","",CONCATENATE("https://us.pandora.net/on/demandware.static/-/Sites-pandora-master-catalog/default/dwbb259ca6/productimages/singlepackshot/",LEFT(A2507,FIND("-",A2507&amp;"-")-1),"_RGB.png"))),"https://us.pandora.net/on/demandware.static/-/Sites-pandora-master-catalog/default/dwbb259ca6/productimages/singlepackshot/592340C00_RGB.png")</f>
        <v>https://us.pandora.net/on/demandware.static/-/Sites-pandora-master-catalog/default/dwbb259ca6/productimages/singlepackshot/592340C00_RGB.png</v>
      </c>
    </row>
    <row r="2508" spans="1:4" x14ac:dyDescent="0.25">
      <c r="A2508" s="3" t="s">
        <v>2510</v>
      </c>
      <c r="B2508" s="4">
        <v>59</v>
      </c>
      <c r="C2508" s="3" t="str">
        <f ca="1">IFERROR(ROWSDUMMYFUNCTION(IF(A2508="","",IFERROR(IMAGE(CONCATENATE("https://us.pandora.net/on/demandware.static/-/Sites-pandora-master-catalog/default/dwbb259ca6/productimages/singlepackshot/",LEFT(A2508,FIND("-",A2508&amp;"-")-1),"_RGB.png")),""))),"{""url"":""https://us.pandora.net/on/demandware.static/-/Sites-pandora-master-catalog/default/dwbb259ca6/productimages/singlepackshot/592340C00_RGB.png"",""mode"":1}")</f>
        <v>{"url":"https://us.pandora.net/on/demandware.static/-/Sites-pandora-master-catalog/default/dwbb259ca6/productimages/singlepackshot/592340C00_RGB.png","mode":1}</v>
      </c>
      <c r="D2508" s="5" t="str">
        <f ca="1">IFERROR(ROWSDUMMYFUNCTION(IF(A2508="","",CONCATENATE("https://us.pandora.net/on/demandware.static/-/Sites-pandora-master-catalog/default/dwbb259ca6/productimages/singlepackshot/",LEFT(A2508,FIND("-",A2508&amp;"-")-1),"_RGB.png"))),"https://us.pandora.net/on/demandware.static/-/Sites-pandora-master-catalog/default/dwbb259ca6/productimages/singlepackshot/592340C00_RGB.png")</f>
        <v>https://us.pandora.net/on/demandware.static/-/Sites-pandora-master-catalog/default/dwbb259ca6/productimages/singlepackshot/592340C00_RGB.png</v>
      </c>
    </row>
    <row r="2509" spans="1:4" x14ac:dyDescent="0.25">
      <c r="A2509" s="3" t="s">
        <v>2511</v>
      </c>
      <c r="B2509" s="4">
        <v>69</v>
      </c>
      <c r="C2509" s="3" t="str">
        <f ca="1">IFERROR(ROWSDUMMYFUNCTION(IF(A2509="","",IFERROR(IMAGE(CONCATENATE("https://us.pandora.net/on/demandware.static/-/Sites-pandora-master-catalog/default/dwbb259ca6/productimages/singlepackshot/",LEFT(A2509,FIND("-",A2509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09" s="5" t="str">
        <f ca="1">IFERROR(ROWSDUMMYFUNCTION(IF(A2509="","",CONCATENATE("https://us.pandora.net/on/demandware.static/-/Sites-pandora-master-catalog/default/dwbb259ca6/productimages/singlepackshot/",LEFT(A2509,FIND("-",A2509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0" spans="1:4" x14ac:dyDescent="0.25">
      <c r="A2510" s="3" t="s">
        <v>2512</v>
      </c>
      <c r="B2510" s="4">
        <v>69</v>
      </c>
      <c r="C2510" s="3" t="str">
        <f ca="1">IFERROR(ROWSDUMMYFUNCTION(IF(A2510="","",IFERROR(IMAGE(CONCATENATE("https://us.pandora.net/on/demandware.static/-/Sites-pandora-master-catalog/default/dwbb259ca6/productimages/singlepackshot/",LEFT(A2510,FIND("-",A2510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10" s="5" t="str">
        <f ca="1">IFERROR(ROWSDUMMYFUNCTION(IF(A2510="","",CONCATENATE("https://us.pandora.net/on/demandware.static/-/Sites-pandora-master-catalog/default/dwbb259ca6/productimages/singlepackshot/",LEFT(A2510,FIND("-",A2510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1" spans="1:4" x14ac:dyDescent="0.25">
      <c r="A2511" s="3" t="s">
        <v>2513</v>
      </c>
      <c r="B2511" s="4">
        <v>69</v>
      </c>
      <c r="C2511" s="3" t="str">
        <f ca="1">IFERROR(ROWSDUMMYFUNCTION(IF(A2511="","",IFERROR(IMAGE(CONCATENATE("https://us.pandora.net/on/demandware.static/-/Sites-pandora-master-catalog/default/dwbb259ca6/productimages/singlepackshot/",LEFT(A2511,FIND("-",A2511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11" s="5" t="str">
        <f ca="1">IFERROR(ROWSDUMMYFUNCTION(IF(A2511="","",CONCATENATE("https://us.pandora.net/on/demandware.static/-/Sites-pandora-master-catalog/default/dwbb259ca6/productimages/singlepackshot/",LEFT(A2511,FIND("-",A2511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2" spans="1:4" x14ac:dyDescent="0.25">
      <c r="A2512" s="3" t="s">
        <v>2514</v>
      </c>
      <c r="B2512" s="4">
        <v>69</v>
      </c>
      <c r="C2512" s="3" t="str">
        <f ca="1">IFERROR(ROWSDUMMYFUNCTION(IF(A2512="","",IFERROR(IMAGE(CONCATENATE("https://us.pandora.net/on/demandware.static/-/Sites-pandora-master-catalog/default/dwbb259ca6/productimages/singlepackshot/",LEFT(A2512,FIND("-",A2512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12" s="5" t="str">
        <f ca="1">IFERROR(ROWSDUMMYFUNCTION(IF(A2512="","",CONCATENATE("https://us.pandora.net/on/demandware.static/-/Sites-pandora-master-catalog/default/dwbb259ca6/productimages/singlepackshot/",LEFT(A2512,FIND("-",A2512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3" spans="1:4" x14ac:dyDescent="0.25">
      <c r="A2513" s="3" t="s">
        <v>2515</v>
      </c>
      <c r="B2513" s="4">
        <v>69</v>
      </c>
      <c r="C2513" s="3" t="str">
        <f ca="1">IFERROR(ROWSDUMMYFUNCTION(IF(A2513="","",IFERROR(IMAGE(CONCATENATE("https://us.pandora.net/on/demandware.static/-/Sites-pandora-master-catalog/default/dwbb259ca6/productimages/singlepackshot/",LEFT(A2513,FIND("-",A2513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13" s="5" t="str">
        <f ca="1">IFERROR(ROWSDUMMYFUNCTION(IF(A2513="","",CONCATENATE("https://us.pandora.net/on/demandware.static/-/Sites-pandora-master-catalog/default/dwbb259ca6/productimages/singlepackshot/",LEFT(A2513,FIND("-",A2513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4" spans="1:4" x14ac:dyDescent="0.25">
      <c r="A2514" s="3" t="s">
        <v>2516</v>
      </c>
      <c r="B2514" s="4">
        <v>69</v>
      </c>
      <c r="C2514" s="3" t="str">
        <f ca="1">IFERROR(ROWSDUMMYFUNCTION(IF(A2514="","",IFERROR(IMAGE(CONCATENATE("https://us.pandora.net/on/demandware.static/-/Sites-pandora-master-catalog/default/dwbb259ca6/productimages/singlepackshot/",LEFT(A2514,FIND("-",A2514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14" s="5" t="str">
        <f ca="1">IFERROR(ROWSDUMMYFUNCTION(IF(A2514="","",CONCATENATE("https://us.pandora.net/on/demandware.static/-/Sites-pandora-master-catalog/default/dwbb259ca6/productimages/singlepackshot/",LEFT(A2514,FIND("-",A2514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5" spans="1:4" x14ac:dyDescent="0.25">
      <c r="A2515" s="3" t="s">
        <v>2517</v>
      </c>
      <c r="B2515" s="4">
        <v>69</v>
      </c>
      <c r="C2515" s="3" t="str">
        <f ca="1">IFERROR(ROWSDUMMYFUNCTION(IF(A2515="","",IFERROR(IMAGE(CONCATENATE("https://us.pandora.net/on/demandware.static/-/Sites-pandora-master-catalog/default/dwbb259ca6/productimages/singlepackshot/",LEFT(A2515,FIND("-",A2515&amp;"-")-1),"_RGB.png")),""))),"{""url"":""https://us.pandora.net/on/demandware.static/-/Sites-pandora-master-catalog/default/dwbb259ca6/productimages/singlepackshot/592453C00_RGB.png"",""mode"":1}")</f>
        <v>{"url":"https://us.pandora.net/on/demandware.static/-/Sites-pandora-master-catalog/default/dwbb259ca6/productimages/singlepackshot/592453C00_RGB.png","mode":1}</v>
      </c>
      <c r="D2515" s="5" t="str">
        <f ca="1">IFERROR(ROWSDUMMYFUNCTION(IF(A2515="","",CONCATENATE("https://us.pandora.net/on/demandware.static/-/Sites-pandora-master-catalog/default/dwbb259ca6/productimages/singlepackshot/",LEFT(A2515,FIND("-",A2515&amp;"-")-1),"_RGB.png"))),"https://us.pandora.net/on/demandware.static/-/Sites-pandora-master-catalog/default/dwbb259ca6/productimages/singlepackshot/592453C00_RGB.png")</f>
        <v>https://us.pandora.net/on/demandware.static/-/Sites-pandora-master-catalog/default/dwbb259ca6/productimages/singlepackshot/592453C00_RGB.png</v>
      </c>
    </row>
    <row r="2516" spans="1:4" x14ac:dyDescent="0.25">
      <c r="A2516" s="3" t="s">
        <v>2518</v>
      </c>
      <c r="B2516" s="4">
        <v>79</v>
      </c>
      <c r="C2516" s="3" t="str">
        <f ca="1">IFERROR(ROWSDUMMYFUNCTION(IF(A2516="","",IFERROR(IMAGE(CONCATENATE("https://us.pandora.net/on/demandware.static/-/Sites-pandora-master-catalog/default/dwbb259ca6/productimages/singlepackshot/",LEFT(A2516,FIND("-",A2516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16" s="5" t="str">
        <f ca="1">IFERROR(ROWSDUMMYFUNCTION(IF(A2516="","",CONCATENATE("https://us.pandora.net/on/demandware.static/-/Sites-pandora-master-catalog/default/dwbb259ca6/productimages/singlepackshot/",LEFT(A2516,FIND("-",A2516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17" spans="1:4" x14ac:dyDescent="0.25">
      <c r="A2517" s="3" t="s">
        <v>2519</v>
      </c>
      <c r="B2517" s="4">
        <v>79</v>
      </c>
      <c r="C2517" s="3" t="str">
        <f ca="1">IFERROR(ROWSDUMMYFUNCTION(IF(A2517="","",IFERROR(IMAGE(CONCATENATE("https://us.pandora.net/on/demandware.static/-/Sites-pandora-master-catalog/default/dwbb259ca6/productimages/singlepackshot/",LEFT(A2517,FIND("-",A2517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17" s="5" t="str">
        <f ca="1">IFERROR(ROWSDUMMYFUNCTION(IF(A2517="","",CONCATENATE("https://us.pandora.net/on/demandware.static/-/Sites-pandora-master-catalog/default/dwbb259ca6/productimages/singlepackshot/",LEFT(A2517,FIND("-",A2517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18" spans="1:4" x14ac:dyDescent="0.25">
      <c r="A2518" s="3" t="s">
        <v>2520</v>
      </c>
      <c r="B2518" s="4">
        <v>79</v>
      </c>
      <c r="C2518" s="3" t="str">
        <f ca="1">IFERROR(ROWSDUMMYFUNCTION(IF(A2518="","",IFERROR(IMAGE(CONCATENATE("https://us.pandora.net/on/demandware.static/-/Sites-pandora-master-catalog/default/dwbb259ca6/productimages/singlepackshot/",LEFT(A2518,FIND("-",A2518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18" s="5" t="str">
        <f ca="1">IFERROR(ROWSDUMMYFUNCTION(IF(A2518="","",CONCATENATE("https://us.pandora.net/on/demandware.static/-/Sites-pandora-master-catalog/default/dwbb259ca6/productimages/singlepackshot/",LEFT(A2518,FIND("-",A2518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19" spans="1:4" x14ac:dyDescent="0.25">
      <c r="A2519" s="3" t="s">
        <v>2521</v>
      </c>
      <c r="B2519" s="4">
        <v>79</v>
      </c>
      <c r="C2519" s="3" t="str">
        <f ca="1">IFERROR(ROWSDUMMYFUNCTION(IF(A2519="","",IFERROR(IMAGE(CONCATENATE("https://us.pandora.net/on/demandware.static/-/Sites-pandora-master-catalog/default/dwbb259ca6/productimages/singlepackshot/",LEFT(A2519,FIND("-",A2519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19" s="5" t="str">
        <f ca="1">IFERROR(ROWSDUMMYFUNCTION(IF(A2519="","",CONCATENATE("https://us.pandora.net/on/demandware.static/-/Sites-pandora-master-catalog/default/dwbb259ca6/productimages/singlepackshot/",LEFT(A2519,FIND("-",A2519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20" spans="1:4" x14ac:dyDescent="0.25">
      <c r="A2520" s="3" t="s">
        <v>2522</v>
      </c>
      <c r="B2520" s="4">
        <v>79</v>
      </c>
      <c r="C2520" s="3" t="str">
        <f ca="1">IFERROR(ROWSDUMMYFUNCTION(IF(A2520="","",IFERROR(IMAGE(CONCATENATE("https://us.pandora.net/on/demandware.static/-/Sites-pandora-master-catalog/default/dwbb259ca6/productimages/singlepackshot/",LEFT(A2520,FIND("-",A2520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20" s="5" t="str">
        <f ca="1">IFERROR(ROWSDUMMYFUNCTION(IF(A2520="","",CONCATENATE("https://us.pandora.net/on/demandware.static/-/Sites-pandora-master-catalog/default/dwbb259ca6/productimages/singlepackshot/",LEFT(A2520,FIND("-",A2520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21" spans="1:4" x14ac:dyDescent="0.25">
      <c r="A2521" s="3" t="s">
        <v>2523</v>
      </c>
      <c r="B2521" s="4">
        <v>79</v>
      </c>
      <c r="C2521" s="3" t="str">
        <f ca="1">IFERROR(ROWSDUMMYFUNCTION(IF(A2521="","",IFERROR(IMAGE(CONCATENATE("https://us.pandora.net/on/demandware.static/-/Sites-pandora-master-catalog/default/dwbb259ca6/productimages/singlepackshot/",LEFT(A2521,FIND("-",A2521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21" s="5" t="str">
        <f ca="1">IFERROR(ROWSDUMMYFUNCTION(IF(A2521="","",CONCATENATE("https://us.pandora.net/on/demandware.static/-/Sites-pandora-master-catalog/default/dwbb259ca6/productimages/singlepackshot/",LEFT(A2521,FIND("-",A2521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22" spans="1:4" x14ac:dyDescent="0.25">
      <c r="A2522" s="3" t="s">
        <v>2524</v>
      </c>
      <c r="B2522" s="4">
        <v>79</v>
      </c>
      <c r="C2522" s="3" t="str">
        <f ca="1">IFERROR(ROWSDUMMYFUNCTION(IF(A2522="","",IFERROR(IMAGE(CONCATENATE("https://us.pandora.net/on/demandware.static/-/Sites-pandora-master-catalog/default/dwbb259ca6/productimages/singlepackshot/",LEFT(A2522,FIND("-",A2522&amp;"-")-1),"_RGB.png")),""))),"{""url"":""https://us.pandora.net/on/demandware.static/-/Sites-pandora-master-catalog/default/dwbb259ca6/productimages/singlepackshot/592645C01_RGB.png"",""mode"":1}")</f>
        <v>{"url":"https://us.pandora.net/on/demandware.static/-/Sites-pandora-master-catalog/default/dwbb259ca6/productimages/singlepackshot/592645C01_RGB.png","mode":1}</v>
      </c>
      <c r="D2522" s="5" t="str">
        <f ca="1">IFERROR(ROWSDUMMYFUNCTION(IF(A2522="","",CONCATENATE("https://us.pandora.net/on/demandware.static/-/Sites-pandora-master-catalog/default/dwbb259ca6/productimages/singlepackshot/",LEFT(A2522,FIND("-",A2522&amp;"-")-1),"_RGB.png"))),"https://us.pandora.net/on/demandware.static/-/Sites-pandora-master-catalog/default/dwbb259ca6/productimages/singlepackshot/592645C01_RGB.png")</f>
        <v>https://us.pandora.net/on/demandware.static/-/Sites-pandora-master-catalog/default/dwbb259ca6/productimages/singlepackshot/592645C01_RGB.png</v>
      </c>
    </row>
    <row r="2523" spans="1:4" x14ac:dyDescent="0.25">
      <c r="A2523" s="3" t="s">
        <v>2525</v>
      </c>
      <c r="B2523" s="4">
        <v>49</v>
      </c>
      <c r="C2523" s="3" t="str">
        <f ca="1">IFERROR(ROWSDUMMYFUNCTION(IF(A2523="","",IFERROR(IMAGE(CONCATENATE("https://us.pandora.net/on/demandware.static/-/Sites-pandora-master-catalog/default/dwbb259ca6/productimages/singlepackshot/",LEFT(A2523,FIND("-",A2523&amp;"-")-1),"_RGB.png")),""))),"{""url"":""https://us.pandora.net/on/demandware.static/-/Sites-pandora-master-catalog/default/dwbb259ca6/productimages/singlepackshot/592790C01_RGB.png"",""mode"":1}")</f>
        <v>{"url":"https://us.pandora.net/on/demandware.static/-/Sites-pandora-master-catalog/default/dwbb259ca6/productimages/singlepackshot/592790C01_RGB.png","mode":1}</v>
      </c>
      <c r="D2523" s="5" t="str">
        <f ca="1">IFERROR(ROWSDUMMYFUNCTION(IF(A2523="","",CONCATENATE("https://us.pandora.net/on/demandware.static/-/Sites-pandora-master-catalog/default/dwbb259ca6/productimages/singlepackshot/",LEFT(A2523,FIND("-",A2523&amp;"-")-1),"_RGB.png"))),"https://us.pandora.net/on/demandware.static/-/Sites-pandora-master-catalog/default/dwbb259ca6/productimages/singlepackshot/592790C01_RGB.png")</f>
        <v>https://us.pandora.net/on/demandware.static/-/Sites-pandora-master-catalog/default/dwbb259ca6/productimages/singlepackshot/592790C01_RGB.png</v>
      </c>
    </row>
    <row r="2524" spans="1:4" x14ac:dyDescent="0.25">
      <c r="A2524" s="3" t="s">
        <v>2526</v>
      </c>
      <c r="B2524" s="4">
        <v>49</v>
      </c>
      <c r="C2524" s="3" t="str">
        <f ca="1">IFERROR(ROWSDUMMYFUNCTION(IF(A2524="","",IFERROR(IMAGE(CONCATENATE("https://us.pandora.net/on/demandware.static/-/Sites-pandora-master-catalog/default/dwbb259ca6/productimages/singlepackshot/",LEFT(A2524,FIND("-",A2524&amp;"-")-1),"_RGB.png")),""))),"{""url"":""https://us.pandora.net/on/demandware.static/-/Sites-pandora-master-catalog/default/dwbb259ca6/productimages/singlepackshot/592790C01_RGB.png"",""mode"":1}")</f>
        <v>{"url":"https://us.pandora.net/on/demandware.static/-/Sites-pandora-master-catalog/default/dwbb259ca6/productimages/singlepackshot/592790C01_RGB.png","mode":1}</v>
      </c>
      <c r="D2524" s="5" t="str">
        <f ca="1">IFERROR(ROWSDUMMYFUNCTION(IF(A2524="","",CONCATENATE("https://us.pandora.net/on/demandware.static/-/Sites-pandora-master-catalog/default/dwbb259ca6/productimages/singlepackshot/",LEFT(A2524,FIND("-",A2524&amp;"-")-1),"_RGB.png"))),"https://us.pandora.net/on/demandware.static/-/Sites-pandora-master-catalog/default/dwbb259ca6/productimages/singlepackshot/592790C01_RGB.png")</f>
        <v>https://us.pandora.net/on/demandware.static/-/Sites-pandora-master-catalog/default/dwbb259ca6/productimages/singlepackshot/592790C01_RGB.png</v>
      </c>
    </row>
    <row r="2525" spans="1:4" x14ac:dyDescent="0.25">
      <c r="A2525" s="3" t="s">
        <v>2527</v>
      </c>
      <c r="B2525" s="4">
        <v>49</v>
      </c>
      <c r="C2525" s="3" t="str">
        <f ca="1">IFERROR(ROWSDUMMYFUNCTION(IF(A2525="","",IFERROR(IMAGE(CONCATENATE("https://us.pandora.net/on/demandware.static/-/Sites-pandora-master-catalog/default/dwbb259ca6/productimages/singlepackshot/",LEFT(A2525,FIND("-",A2525&amp;"-")-1),"_RGB.png")),""))),"{""url"":""https://us.pandora.net/on/demandware.static/-/Sites-pandora-master-catalog/default/dwbb259ca6/productimages/singlepackshot/592790C01_RGB.png"",""mode"":1}")</f>
        <v>{"url":"https://us.pandora.net/on/demandware.static/-/Sites-pandora-master-catalog/default/dwbb259ca6/productimages/singlepackshot/592790C01_RGB.png","mode":1}</v>
      </c>
      <c r="D2525" s="5" t="str">
        <f ca="1">IFERROR(ROWSDUMMYFUNCTION(IF(A2525="","",CONCATENATE("https://us.pandora.net/on/demandware.static/-/Sites-pandora-master-catalog/default/dwbb259ca6/productimages/singlepackshot/",LEFT(A2525,FIND("-",A2525&amp;"-")-1),"_RGB.png"))),"https://us.pandora.net/on/demandware.static/-/Sites-pandora-master-catalog/default/dwbb259ca6/productimages/singlepackshot/592790C01_RGB.png")</f>
        <v>https://us.pandora.net/on/demandware.static/-/Sites-pandora-master-catalog/default/dwbb259ca6/productimages/singlepackshot/592790C01_RGB.png</v>
      </c>
    </row>
    <row r="2526" spans="1:4" x14ac:dyDescent="0.25">
      <c r="A2526" s="3" t="s">
        <v>2528</v>
      </c>
      <c r="B2526" s="4">
        <v>89</v>
      </c>
      <c r="C2526" s="3" t="str">
        <f ca="1">IFERROR(ROWSDUMMYFUNCTION(IF(A2526="","",IFERROR(IMAGE(CONCATENATE("https://us.pandora.net/on/demandware.static/-/Sites-pandora-master-catalog/default/dwbb259ca6/productimages/singlepackshot/",LEFT(A2526,FIND("-",A2526&amp;"-")-1),"_RGB.png")),""))),"{""url"":""https://us.pandora.net/on/demandware.static/-/Sites-pandora-master-catalog/default/dwbb259ca6/productimages/singlepackshot/592793C00_RGB.png"",""mode"":1}")</f>
        <v>{"url":"https://us.pandora.net/on/demandware.static/-/Sites-pandora-master-catalog/default/dwbb259ca6/productimages/singlepackshot/592793C00_RGB.png","mode":1}</v>
      </c>
      <c r="D2526" s="5" t="str">
        <f ca="1">IFERROR(ROWSDUMMYFUNCTION(IF(A2526="","",CONCATENATE("https://us.pandora.net/on/demandware.static/-/Sites-pandora-master-catalog/default/dwbb259ca6/productimages/singlepackshot/",LEFT(A2526,FIND("-",A2526&amp;"-")-1),"_RGB.png"))),"https://us.pandora.net/on/demandware.static/-/Sites-pandora-master-catalog/default/dwbb259ca6/productimages/singlepackshot/592793C00_RGB.png")</f>
        <v>https://us.pandora.net/on/demandware.static/-/Sites-pandora-master-catalog/default/dwbb259ca6/productimages/singlepackshot/592793C00_RGB.png</v>
      </c>
    </row>
    <row r="2527" spans="1:4" x14ac:dyDescent="0.25">
      <c r="A2527" s="3" t="s">
        <v>2529</v>
      </c>
      <c r="B2527" s="4">
        <v>89</v>
      </c>
      <c r="C2527" s="3" t="str">
        <f ca="1">IFERROR(ROWSDUMMYFUNCTION(IF(A2527="","",IFERROR(IMAGE(CONCATENATE("https://us.pandora.net/on/demandware.static/-/Sites-pandora-master-catalog/default/dwbb259ca6/productimages/singlepackshot/",LEFT(A2527,FIND("-",A2527&amp;"-")-1),"_RGB.png")),""))),"{""url"":""https://us.pandora.net/on/demandware.static/-/Sites-pandora-master-catalog/default/dwbb259ca6/productimages/singlepackshot/592793C00_RGB.png"",""mode"":1}")</f>
        <v>{"url":"https://us.pandora.net/on/demandware.static/-/Sites-pandora-master-catalog/default/dwbb259ca6/productimages/singlepackshot/592793C00_RGB.png","mode":1}</v>
      </c>
      <c r="D2527" s="5" t="str">
        <f ca="1">IFERROR(ROWSDUMMYFUNCTION(IF(A2527="","",CONCATENATE("https://us.pandora.net/on/demandware.static/-/Sites-pandora-master-catalog/default/dwbb259ca6/productimages/singlepackshot/",LEFT(A2527,FIND("-",A2527&amp;"-")-1),"_RGB.png"))),"https://us.pandora.net/on/demandware.static/-/Sites-pandora-master-catalog/default/dwbb259ca6/productimages/singlepackshot/592793C00_RGB.png")</f>
        <v>https://us.pandora.net/on/demandware.static/-/Sites-pandora-master-catalog/default/dwbb259ca6/productimages/singlepackshot/592793C00_RGB.png</v>
      </c>
    </row>
    <row r="2528" spans="1:4" x14ac:dyDescent="0.25">
      <c r="A2528" s="3" t="s">
        <v>2530</v>
      </c>
      <c r="B2528" s="4">
        <v>89</v>
      </c>
      <c r="C2528" s="3" t="str">
        <f ca="1">IFERROR(ROWSDUMMYFUNCTION(IF(A2528="","",IFERROR(IMAGE(CONCATENATE("https://us.pandora.net/on/demandware.static/-/Sites-pandora-master-catalog/default/dwbb259ca6/productimages/singlepackshot/",LEFT(A2528,FIND("-",A2528&amp;"-")-1),"_RGB.png")),""))),"{""url"":""https://us.pandora.net/on/demandware.static/-/Sites-pandora-master-catalog/default/dwbb259ca6/productimages/singlepackshot/592793C00_RGB.png"",""mode"":1}")</f>
        <v>{"url":"https://us.pandora.net/on/demandware.static/-/Sites-pandora-master-catalog/default/dwbb259ca6/productimages/singlepackshot/592793C00_RGB.png","mode":1}</v>
      </c>
      <c r="D2528" s="5" t="str">
        <f ca="1">IFERROR(ROWSDUMMYFUNCTION(IF(A2528="","",CONCATENATE("https://us.pandora.net/on/demandware.static/-/Sites-pandora-master-catalog/default/dwbb259ca6/productimages/singlepackshot/",LEFT(A2528,FIND("-",A2528&amp;"-")-1),"_RGB.png"))),"https://us.pandora.net/on/demandware.static/-/Sites-pandora-master-catalog/default/dwbb259ca6/productimages/singlepackshot/592793C00_RGB.png")</f>
        <v>https://us.pandora.net/on/demandware.static/-/Sites-pandora-master-catalog/default/dwbb259ca6/productimages/singlepackshot/592793C00_RGB.png</v>
      </c>
    </row>
    <row r="2529" spans="1:4" x14ac:dyDescent="0.25">
      <c r="A2529" s="3" t="s">
        <v>2531</v>
      </c>
      <c r="B2529" s="4">
        <v>89</v>
      </c>
      <c r="C2529" s="3" t="str">
        <f ca="1">IFERROR(ROWSDUMMYFUNCTION(IF(A2529="","",IFERROR(IMAGE(CONCATENATE("https://us.pandora.net/on/demandware.static/-/Sites-pandora-master-catalog/default/dwbb259ca6/productimages/singlepackshot/",LEFT(A2529,FIND("-",A2529&amp;"-")-1),"_RGB.png")),""))),"{""url"":""https://us.pandora.net/on/demandware.static/-/Sites-pandora-master-catalog/default/dwbb259ca6/productimages/singlepackshot/592793C00_RGB.png"",""mode"":1}")</f>
        <v>{"url":"https://us.pandora.net/on/demandware.static/-/Sites-pandora-master-catalog/default/dwbb259ca6/productimages/singlepackshot/592793C00_RGB.png","mode":1}</v>
      </c>
      <c r="D2529" s="5" t="str">
        <f ca="1">IFERROR(ROWSDUMMYFUNCTION(IF(A2529="","",CONCATENATE("https://us.pandora.net/on/demandware.static/-/Sites-pandora-master-catalog/default/dwbb259ca6/productimages/singlepackshot/",LEFT(A2529,FIND("-",A2529&amp;"-")-1),"_RGB.png"))),"https://us.pandora.net/on/demandware.static/-/Sites-pandora-master-catalog/default/dwbb259ca6/productimages/singlepackshot/592793C00_RGB.png")</f>
        <v>https://us.pandora.net/on/demandware.static/-/Sites-pandora-master-catalog/default/dwbb259ca6/productimages/singlepackshot/592793C00_RGB.png</v>
      </c>
    </row>
    <row r="2530" spans="1:4" x14ac:dyDescent="0.25">
      <c r="A2530" s="3" t="s">
        <v>2532</v>
      </c>
      <c r="B2530" s="4">
        <v>89</v>
      </c>
      <c r="C2530" s="3" t="str">
        <f ca="1">IFERROR(ROWSDUMMYFUNCTION(IF(A2530="","",IFERROR(IMAGE(CONCATENATE("https://us.pandora.net/on/demandware.static/-/Sites-pandora-master-catalog/default/dwbb259ca6/productimages/singlepackshot/",LEFT(A2530,FIND("-",A2530&amp;"-")-1),"_RGB.png")),""))),"{""url"":""https://us.pandora.net/on/demandware.static/-/Sites-pandora-master-catalog/default/dwbb259ca6/productimages/singlepackshot/592793C00_RGB.png"",""mode"":1}")</f>
        <v>{"url":"https://us.pandora.net/on/demandware.static/-/Sites-pandora-master-catalog/default/dwbb259ca6/productimages/singlepackshot/592793C00_RGB.png","mode":1}</v>
      </c>
      <c r="D2530" s="5" t="str">
        <f ca="1">IFERROR(ROWSDUMMYFUNCTION(IF(A2530="","",CONCATENATE("https://us.pandora.net/on/demandware.static/-/Sites-pandora-master-catalog/default/dwbb259ca6/productimages/singlepackshot/",LEFT(A2530,FIND("-",A2530&amp;"-")-1),"_RGB.png"))),"https://us.pandora.net/on/demandware.static/-/Sites-pandora-master-catalog/default/dwbb259ca6/productimages/singlepackshot/592793C00_RGB.png")</f>
        <v>https://us.pandora.net/on/demandware.static/-/Sites-pandora-master-catalog/default/dwbb259ca6/productimages/singlepackshot/592793C00_RGB.png</v>
      </c>
    </row>
    <row r="2531" spans="1:4" x14ac:dyDescent="0.25">
      <c r="A2531" s="3" t="s">
        <v>2533</v>
      </c>
      <c r="B2531" s="4">
        <v>79</v>
      </c>
      <c r="C2531" s="3" t="str">
        <f ca="1">IFERROR(ROWSDUMMYFUNCTION(IF(A2531="","",IFERROR(IMAGE(CONCATENATE("https://us.pandora.net/on/demandware.static/-/Sites-pandora-master-catalog/default/dwbb259ca6/productimages/singlepackshot/",LEFT(A2531,FIND("-",A2531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1" s="5" t="str">
        <f ca="1">IFERROR(ROWSDUMMYFUNCTION(IF(A2531="","",CONCATENATE("https://us.pandora.net/on/demandware.static/-/Sites-pandora-master-catalog/default/dwbb259ca6/productimages/singlepackshot/",LEFT(A2531,FIND("-",A2531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2" spans="1:4" x14ac:dyDescent="0.25">
      <c r="A2532" s="3" t="s">
        <v>2534</v>
      </c>
      <c r="B2532" s="4">
        <v>79</v>
      </c>
      <c r="C2532" s="3" t="str">
        <f ca="1">IFERROR(ROWSDUMMYFUNCTION(IF(A2532="","",IFERROR(IMAGE(CONCATENATE("https://us.pandora.net/on/demandware.static/-/Sites-pandora-master-catalog/default/dwbb259ca6/productimages/singlepackshot/",LEFT(A2532,FIND("-",A2532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2" s="5" t="str">
        <f ca="1">IFERROR(ROWSDUMMYFUNCTION(IF(A2532="","",CONCATENATE("https://us.pandora.net/on/demandware.static/-/Sites-pandora-master-catalog/default/dwbb259ca6/productimages/singlepackshot/",LEFT(A2532,FIND("-",A2532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3" spans="1:4" x14ac:dyDescent="0.25">
      <c r="A2533" s="3" t="s">
        <v>2535</v>
      </c>
      <c r="B2533" s="4">
        <v>79</v>
      </c>
      <c r="C2533" s="3" t="str">
        <f ca="1">IFERROR(ROWSDUMMYFUNCTION(IF(A2533="","",IFERROR(IMAGE(CONCATENATE("https://us.pandora.net/on/demandware.static/-/Sites-pandora-master-catalog/default/dwbb259ca6/productimages/singlepackshot/",LEFT(A2533,FIND("-",A2533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3" s="5" t="str">
        <f ca="1">IFERROR(ROWSDUMMYFUNCTION(IF(A2533="","",CONCATENATE("https://us.pandora.net/on/demandware.static/-/Sites-pandora-master-catalog/default/dwbb259ca6/productimages/singlepackshot/",LEFT(A2533,FIND("-",A2533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4" spans="1:4" x14ac:dyDescent="0.25">
      <c r="A2534" s="3" t="s">
        <v>2536</v>
      </c>
      <c r="B2534" s="4">
        <v>79</v>
      </c>
      <c r="C2534" s="3" t="str">
        <f ca="1">IFERROR(ROWSDUMMYFUNCTION(IF(A2534="","",IFERROR(IMAGE(CONCATENATE("https://us.pandora.net/on/demandware.static/-/Sites-pandora-master-catalog/default/dwbb259ca6/productimages/singlepackshot/",LEFT(A2534,FIND("-",A2534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4" s="5" t="str">
        <f ca="1">IFERROR(ROWSDUMMYFUNCTION(IF(A2534="","",CONCATENATE("https://us.pandora.net/on/demandware.static/-/Sites-pandora-master-catalog/default/dwbb259ca6/productimages/singlepackshot/",LEFT(A2534,FIND("-",A2534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5" spans="1:4" x14ac:dyDescent="0.25">
      <c r="A2535" s="3" t="s">
        <v>2537</v>
      </c>
      <c r="B2535" s="4">
        <v>79</v>
      </c>
      <c r="C2535" s="3" t="str">
        <f ca="1">IFERROR(ROWSDUMMYFUNCTION(IF(A2535="","",IFERROR(IMAGE(CONCATENATE("https://us.pandora.net/on/demandware.static/-/Sites-pandora-master-catalog/default/dwbb259ca6/productimages/singlepackshot/",LEFT(A2535,FIND("-",A2535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5" s="5" t="str">
        <f ca="1">IFERROR(ROWSDUMMYFUNCTION(IF(A2535="","",CONCATENATE("https://us.pandora.net/on/demandware.static/-/Sites-pandora-master-catalog/default/dwbb259ca6/productimages/singlepackshot/",LEFT(A2535,FIND("-",A2535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6" spans="1:4" x14ac:dyDescent="0.25">
      <c r="A2536" s="3" t="s">
        <v>2538</v>
      </c>
      <c r="B2536" s="4">
        <v>79</v>
      </c>
      <c r="C2536" s="3" t="str">
        <f ca="1">IFERROR(ROWSDUMMYFUNCTION(IF(A2536="","",IFERROR(IMAGE(CONCATENATE("https://us.pandora.net/on/demandware.static/-/Sites-pandora-master-catalog/default/dwbb259ca6/productimages/singlepackshot/",LEFT(A2536,FIND("-",A2536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6" s="5" t="str">
        <f ca="1">IFERROR(ROWSDUMMYFUNCTION(IF(A2536="","",CONCATENATE("https://us.pandora.net/on/demandware.static/-/Sites-pandora-master-catalog/default/dwbb259ca6/productimages/singlepackshot/",LEFT(A2536,FIND("-",A2536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7" spans="1:4" x14ac:dyDescent="0.25">
      <c r="A2537" s="3" t="s">
        <v>2539</v>
      </c>
      <c r="B2537" s="4">
        <v>79</v>
      </c>
      <c r="C2537" s="3" t="str">
        <f ca="1">IFERROR(ROWSDUMMYFUNCTION(IF(A2537="","",IFERROR(IMAGE(CONCATENATE("https://us.pandora.net/on/demandware.static/-/Sites-pandora-master-catalog/default/dwbb259ca6/productimages/singlepackshot/",LEFT(A2537,FIND("-",A2537&amp;"-")-1),"_RGB.png")),""))),"{""url"":""https://us.pandora.net/on/demandware.static/-/Sites-pandora-master-catalog/default/dwbb259ca6/productimages/singlepackshot/592819C01_RGB.png"",""mode"":1}")</f>
        <v>{"url":"https://us.pandora.net/on/demandware.static/-/Sites-pandora-master-catalog/default/dwbb259ca6/productimages/singlepackshot/592819C01_RGB.png","mode":1}</v>
      </c>
      <c r="D2537" s="5" t="str">
        <f ca="1">IFERROR(ROWSDUMMYFUNCTION(IF(A2537="","",CONCATENATE("https://us.pandora.net/on/demandware.static/-/Sites-pandora-master-catalog/default/dwbb259ca6/productimages/singlepackshot/",LEFT(A2537,FIND("-",A2537&amp;"-")-1),"_RGB.png"))),"https://us.pandora.net/on/demandware.static/-/Sites-pandora-master-catalog/default/dwbb259ca6/productimages/singlepackshot/592819C01_RGB.png")</f>
        <v>https://us.pandora.net/on/demandware.static/-/Sites-pandora-master-catalog/default/dwbb259ca6/productimages/singlepackshot/592819C01_RGB.png</v>
      </c>
    </row>
    <row r="2538" spans="1:4" x14ac:dyDescent="0.25">
      <c r="A2538" s="3" t="s">
        <v>2540</v>
      </c>
      <c r="B2538" s="4">
        <v>59</v>
      </c>
      <c r="C2538" s="3" t="str">
        <f ca="1">IFERROR(ROWSDUMMYFUNCTION(IF(A2538="","",IFERROR(IMAGE(CONCATENATE("https://us.pandora.net/on/demandware.static/-/Sites-pandora-master-catalog/default/dwbb259ca6/productimages/singlepackshot/",LEFT(A2538,FIND("-",A2538&amp;"-")-1),"_RGB.png")),""))),"{""url"":""https://us.pandora.net/on/demandware.static/-/Sites-pandora-master-catalog/default/dwbb259ca6/productimages/singlepackshot/593001C01_RGB.png"",""mode"":1}")</f>
        <v>{"url":"https://us.pandora.net/on/demandware.static/-/Sites-pandora-master-catalog/default/dwbb259ca6/productimages/singlepackshot/593001C01_RGB.png","mode":1}</v>
      </c>
      <c r="D2538" s="5" t="str">
        <f ca="1">IFERROR(ROWSDUMMYFUNCTION(IF(A2538="","",CONCATENATE("https://us.pandora.net/on/demandware.static/-/Sites-pandora-master-catalog/default/dwbb259ca6/productimages/singlepackshot/",LEFT(A2538,FIND("-",A2538&amp;"-")-1),"_RGB.png"))),"https://us.pandora.net/on/demandware.static/-/Sites-pandora-master-catalog/default/dwbb259ca6/productimages/singlepackshot/593001C01_RGB.png")</f>
        <v>https://us.pandora.net/on/demandware.static/-/Sites-pandora-master-catalog/default/dwbb259ca6/productimages/singlepackshot/593001C01_RGB.png</v>
      </c>
    </row>
    <row r="2539" spans="1:4" x14ac:dyDescent="0.25">
      <c r="A2539" s="3" t="s">
        <v>2541</v>
      </c>
      <c r="B2539" s="4">
        <v>59</v>
      </c>
      <c r="C2539" s="3" t="str">
        <f ca="1">IFERROR(ROWSDUMMYFUNCTION(IF(A2539="","",IFERROR(IMAGE(CONCATENATE("https://us.pandora.net/on/demandware.static/-/Sites-pandora-master-catalog/default/dwbb259ca6/productimages/singlepackshot/",LEFT(A2539,FIND("-",A2539&amp;"-")-1),"_RGB.png")),""))),"{""url"":""https://us.pandora.net/on/demandware.static/-/Sites-pandora-master-catalog/default/dwbb259ca6/productimages/singlepackshot/593001C01_RGB.png"",""mode"":1}")</f>
        <v>{"url":"https://us.pandora.net/on/demandware.static/-/Sites-pandora-master-catalog/default/dwbb259ca6/productimages/singlepackshot/593001C01_RGB.png","mode":1}</v>
      </c>
      <c r="D2539" s="5" t="str">
        <f ca="1">IFERROR(ROWSDUMMYFUNCTION(IF(A2539="","",CONCATENATE("https://us.pandora.net/on/demandware.static/-/Sites-pandora-master-catalog/default/dwbb259ca6/productimages/singlepackshot/",LEFT(A2539,FIND("-",A2539&amp;"-")-1),"_RGB.png"))),"https://us.pandora.net/on/demandware.static/-/Sites-pandora-master-catalog/default/dwbb259ca6/productimages/singlepackshot/593001C01_RGB.png")</f>
        <v>https://us.pandora.net/on/demandware.static/-/Sites-pandora-master-catalog/default/dwbb259ca6/productimages/singlepackshot/593001C01_RGB.png</v>
      </c>
    </row>
    <row r="2540" spans="1:4" x14ac:dyDescent="0.25">
      <c r="A2540" s="3" t="s">
        <v>2542</v>
      </c>
      <c r="B2540" s="4">
        <v>59</v>
      </c>
      <c r="C2540" s="3" t="str">
        <f ca="1">IFERROR(ROWSDUMMYFUNCTION(IF(A2540="","",IFERROR(IMAGE(CONCATENATE("https://us.pandora.net/on/demandware.static/-/Sites-pandora-master-catalog/default/dwbb259ca6/productimages/singlepackshot/",LEFT(A2540,FIND("-",A2540&amp;"-")-1),"_RGB.png")),""))),"{""url"":""https://us.pandora.net/on/demandware.static/-/Sites-pandora-master-catalog/default/dwbb259ca6/productimages/singlepackshot/593001C01_RGB.png"",""mode"":1}")</f>
        <v>{"url":"https://us.pandora.net/on/demandware.static/-/Sites-pandora-master-catalog/default/dwbb259ca6/productimages/singlepackshot/593001C01_RGB.png","mode":1}</v>
      </c>
      <c r="D2540" s="5" t="str">
        <f ca="1">IFERROR(ROWSDUMMYFUNCTION(IF(A2540="","",CONCATENATE("https://us.pandora.net/on/demandware.static/-/Sites-pandora-master-catalog/default/dwbb259ca6/productimages/singlepackshot/",LEFT(A2540,FIND("-",A2540&amp;"-")-1),"_RGB.png"))),"https://us.pandora.net/on/demandware.static/-/Sites-pandora-master-catalog/default/dwbb259ca6/productimages/singlepackshot/593001C01_RGB.png")</f>
        <v>https://us.pandora.net/on/demandware.static/-/Sites-pandora-master-catalog/default/dwbb259ca6/productimages/singlepackshot/593001C01_RGB.png</v>
      </c>
    </row>
    <row r="2541" spans="1:4" x14ac:dyDescent="0.25">
      <c r="A2541" s="3" t="s">
        <v>2543</v>
      </c>
      <c r="B2541" s="4">
        <v>189</v>
      </c>
      <c r="C2541" s="3" t="str">
        <f ca="1">IFERROR(ROWSDUMMYFUNCTION(IF(A2541="","",IFERROR(IMAGE(CONCATENATE("https://us.pandora.net/on/demandware.static/-/Sites-pandora-master-catalog/default/dwbb259ca6/productimages/singlepackshot/",LEFT(A2541,FIND("-",A2541&amp;"-")-1),"_RGB.png")),""))),"{""url"":""https://us.pandora.net/on/demandware.static/-/Sites-pandora-master-catalog/default/dwbb259ca6/productimages/singlepackshot/593008C01_RGB.png"",""mode"":1}")</f>
        <v>{"url":"https://us.pandora.net/on/demandware.static/-/Sites-pandora-master-catalog/default/dwbb259ca6/productimages/singlepackshot/593008C01_RGB.png","mode":1}</v>
      </c>
      <c r="D2541" s="5" t="str">
        <f ca="1">IFERROR(ROWSDUMMYFUNCTION(IF(A2541="","",CONCATENATE("https://us.pandora.net/on/demandware.static/-/Sites-pandora-master-catalog/default/dwbb259ca6/productimages/singlepackshot/",LEFT(A2541,FIND("-",A2541&amp;"-")-1),"_RGB.png"))),"https://us.pandora.net/on/demandware.static/-/Sites-pandora-master-catalog/default/dwbb259ca6/productimages/singlepackshot/593008C01_RGB.png")</f>
        <v>https://us.pandora.net/on/demandware.static/-/Sites-pandora-master-catalog/default/dwbb259ca6/productimages/singlepackshot/593008C01_RGB.png</v>
      </c>
    </row>
    <row r="2542" spans="1:4" x14ac:dyDescent="0.25">
      <c r="A2542" s="3" t="s">
        <v>2544</v>
      </c>
      <c r="B2542" s="4">
        <v>189</v>
      </c>
      <c r="C2542" s="3" t="str">
        <f ca="1">IFERROR(ROWSDUMMYFUNCTION(IF(A2542="","",IFERROR(IMAGE(CONCATENATE("https://us.pandora.net/on/demandware.static/-/Sites-pandora-master-catalog/default/dwbb259ca6/productimages/singlepackshot/",LEFT(A2542,FIND("-",A2542&amp;"-")-1),"_RGB.png")),""))),"{""url"":""https://us.pandora.net/on/demandware.static/-/Sites-pandora-master-catalog/default/dwbb259ca6/productimages/singlepackshot/593008C01_RGB.png"",""mode"":1}")</f>
        <v>{"url":"https://us.pandora.net/on/demandware.static/-/Sites-pandora-master-catalog/default/dwbb259ca6/productimages/singlepackshot/593008C01_RGB.png","mode":1}</v>
      </c>
      <c r="D2542" s="5" t="str">
        <f ca="1">IFERROR(ROWSDUMMYFUNCTION(IF(A2542="","",CONCATENATE("https://us.pandora.net/on/demandware.static/-/Sites-pandora-master-catalog/default/dwbb259ca6/productimages/singlepackshot/",LEFT(A2542,FIND("-",A2542&amp;"-")-1),"_RGB.png"))),"https://us.pandora.net/on/demandware.static/-/Sites-pandora-master-catalog/default/dwbb259ca6/productimages/singlepackshot/593008C01_RGB.png")</f>
        <v>https://us.pandora.net/on/demandware.static/-/Sites-pandora-master-catalog/default/dwbb259ca6/productimages/singlepackshot/593008C01_RGB.png</v>
      </c>
    </row>
    <row r="2543" spans="1:4" x14ac:dyDescent="0.25">
      <c r="A2543" s="3" t="s">
        <v>2545</v>
      </c>
      <c r="B2543" s="4">
        <v>189</v>
      </c>
      <c r="C2543" s="3" t="str">
        <f ca="1">IFERROR(ROWSDUMMYFUNCTION(IF(A2543="","",IFERROR(IMAGE(CONCATENATE("https://us.pandora.net/on/demandware.static/-/Sites-pandora-master-catalog/default/dwbb259ca6/productimages/singlepackshot/",LEFT(A2543,FIND("-",A2543&amp;"-")-1),"_RGB.png")),""))),"{""url"":""https://us.pandora.net/on/demandware.static/-/Sites-pandora-master-catalog/default/dwbb259ca6/productimages/singlepackshot/593008C01_RGB.png"",""mode"":1}")</f>
        <v>{"url":"https://us.pandora.net/on/demandware.static/-/Sites-pandora-master-catalog/default/dwbb259ca6/productimages/singlepackshot/593008C01_RGB.png","mode":1}</v>
      </c>
      <c r="D2543" s="5" t="str">
        <f ca="1">IFERROR(ROWSDUMMYFUNCTION(IF(A2543="","",CONCATENATE("https://us.pandora.net/on/demandware.static/-/Sites-pandora-master-catalog/default/dwbb259ca6/productimages/singlepackshot/",LEFT(A2543,FIND("-",A2543&amp;"-")-1),"_RGB.png"))),"https://us.pandora.net/on/demandware.static/-/Sites-pandora-master-catalog/default/dwbb259ca6/productimages/singlepackshot/593008C01_RGB.png")</f>
        <v>https://us.pandora.net/on/demandware.static/-/Sites-pandora-master-catalog/default/dwbb259ca6/productimages/singlepackshot/593008C01_RGB.png</v>
      </c>
    </row>
    <row r="2544" spans="1:4" x14ac:dyDescent="0.25">
      <c r="A2544" s="3" t="s">
        <v>2546</v>
      </c>
      <c r="B2544" s="4">
        <v>89</v>
      </c>
      <c r="C2544" s="3" t="str">
        <f ca="1">IFERROR(ROWSDUMMYFUNCTION(IF(A2544="","",IFERROR(IMAGE(CONCATENATE("https://us.pandora.net/on/demandware.static/-/Sites-pandora-master-catalog/default/dwbb259ca6/productimages/singlepackshot/",LEFT(A2544,FIND("-",A2544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44" s="5" t="str">
        <f ca="1">IFERROR(ROWSDUMMYFUNCTION(IF(A2544="","",CONCATENATE("https://us.pandora.net/on/demandware.static/-/Sites-pandora-master-catalog/default/dwbb259ca6/productimages/singlepackshot/",LEFT(A2544,FIND("-",A2544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45" spans="1:4" x14ac:dyDescent="0.25">
      <c r="A2545" s="3" t="s">
        <v>2547</v>
      </c>
      <c r="B2545" s="4">
        <v>89</v>
      </c>
      <c r="C2545" s="3" t="str">
        <f ca="1">IFERROR(ROWSDUMMYFUNCTION(IF(A2545="","",IFERROR(IMAGE(CONCATENATE("https://us.pandora.net/on/demandware.static/-/Sites-pandora-master-catalog/default/dwbb259ca6/productimages/singlepackshot/",LEFT(A2545,FIND("-",A2545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45" s="5" t="str">
        <f ca="1">IFERROR(ROWSDUMMYFUNCTION(IF(A2545="","",CONCATENATE("https://us.pandora.net/on/demandware.static/-/Sites-pandora-master-catalog/default/dwbb259ca6/productimages/singlepackshot/",LEFT(A2545,FIND("-",A2545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46" spans="1:4" x14ac:dyDescent="0.25">
      <c r="A2546" s="3" t="s">
        <v>2548</v>
      </c>
      <c r="B2546" s="4">
        <v>89</v>
      </c>
      <c r="C2546" s="3" t="str">
        <f ca="1">IFERROR(ROWSDUMMYFUNCTION(IF(A2546="","",IFERROR(IMAGE(CONCATENATE("https://us.pandora.net/on/demandware.static/-/Sites-pandora-master-catalog/default/dwbb259ca6/productimages/singlepackshot/",LEFT(A2546,FIND("-",A2546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46" s="5" t="str">
        <f ca="1">IFERROR(ROWSDUMMYFUNCTION(IF(A2546="","",CONCATENATE("https://us.pandora.net/on/demandware.static/-/Sites-pandora-master-catalog/default/dwbb259ca6/productimages/singlepackshot/",LEFT(A2546,FIND("-",A2546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47" spans="1:4" x14ac:dyDescent="0.25">
      <c r="A2547" s="3" t="s">
        <v>2549</v>
      </c>
      <c r="B2547" s="4">
        <v>89</v>
      </c>
      <c r="C2547" s="3" t="str">
        <f ca="1">IFERROR(ROWSDUMMYFUNCTION(IF(A2547="","",IFERROR(IMAGE(CONCATENATE("https://us.pandora.net/on/demandware.static/-/Sites-pandora-master-catalog/default/dwbb259ca6/productimages/singlepackshot/",LEFT(A2547,FIND("-",A2547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47" s="5" t="str">
        <f ca="1">IFERROR(ROWSDUMMYFUNCTION(IF(A2547="","",CONCATENATE("https://us.pandora.net/on/demandware.static/-/Sites-pandora-master-catalog/default/dwbb259ca6/productimages/singlepackshot/",LEFT(A2547,FIND("-",A2547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48" spans="1:4" x14ac:dyDescent="0.25">
      <c r="A2548" s="3" t="s">
        <v>2550</v>
      </c>
      <c r="B2548" s="4">
        <v>89</v>
      </c>
      <c r="C2548" s="3" t="str">
        <f ca="1">IFERROR(ROWSDUMMYFUNCTION(IF(A2548="","",IFERROR(IMAGE(CONCATENATE("https://us.pandora.net/on/demandware.static/-/Sites-pandora-master-catalog/default/dwbb259ca6/productimages/singlepackshot/",LEFT(A2548,FIND("-",A2548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48" s="5" t="str">
        <f ca="1">IFERROR(ROWSDUMMYFUNCTION(IF(A2548="","",CONCATENATE("https://us.pandora.net/on/demandware.static/-/Sites-pandora-master-catalog/default/dwbb259ca6/productimages/singlepackshot/",LEFT(A2548,FIND("-",A2548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49" spans="1:4" x14ac:dyDescent="0.25">
      <c r="A2549" s="3" t="s">
        <v>2551</v>
      </c>
      <c r="B2549" s="4">
        <v>89</v>
      </c>
      <c r="C2549" s="3" t="str">
        <f ca="1">IFERROR(ROWSDUMMYFUNCTION(IF(A2549="","",IFERROR(IMAGE(CONCATENATE("https://us.pandora.net/on/demandware.static/-/Sites-pandora-master-catalog/default/dwbb259ca6/productimages/singlepackshot/",LEFT(A2549,FIND("-",A2549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49" s="5" t="str">
        <f ca="1">IFERROR(ROWSDUMMYFUNCTION(IF(A2549="","",CONCATENATE("https://us.pandora.net/on/demandware.static/-/Sites-pandora-master-catalog/default/dwbb259ca6/productimages/singlepackshot/",LEFT(A2549,FIND("-",A2549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50" spans="1:4" x14ac:dyDescent="0.25">
      <c r="A2550" s="3" t="s">
        <v>2552</v>
      </c>
      <c r="B2550" s="4">
        <v>89</v>
      </c>
      <c r="C2550" s="3" t="str">
        <f ca="1">IFERROR(ROWSDUMMYFUNCTION(IF(A2550="","",IFERROR(IMAGE(CONCATENATE("https://us.pandora.net/on/demandware.static/-/Sites-pandora-master-catalog/default/dwbb259ca6/productimages/singlepackshot/",LEFT(A2550,FIND("-",A2550&amp;"-")-1),"_RGB.png")),""))),"{""url"":""https://us.pandora.net/on/demandware.static/-/Sites-pandora-master-catalog/default/dwbb259ca6/productimages/singlepackshot/593061C00_RGB.png"",""mode"":1}")</f>
        <v>{"url":"https://us.pandora.net/on/demandware.static/-/Sites-pandora-master-catalog/default/dwbb259ca6/productimages/singlepackshot/593061C00_RGB.png","mode":1}</v>
      </c>
      <c r="D2550" s="5" t="str">
        <f ca="1">IFERROR(ROWSDUMMYFUNCTION(IF(A2550="","",CONCATENATE("https://us.pandora.net/on/demandware.static/-/Sites-pandora-master-catalog/default/dwbb259ca6/productimages/singlepackshot/",LEFT(A2550,FIND("-",A2550&amp;"-")-1),"_RGB.png"))),"https://us.pandora.net/on/demandware.static/-/Sites-pandora-master-catalog/default/dwbb259ca6/productimages/singlepackshot/593061C00_RGB.png")</f>
        <v>https://us.pandora.net/on/demandware.static/-/Sites-pandora-master-catalog/default/dwbb259ca6/productimages/singlepackshot/593061C00_RGB.png</v>
      </c>
    </row>
    <row r="2551" spans="1:4" x14ac:dyDescent="0.25">
      <c r="A2551" s="3" t="s">
        <v>2553</v>
      </c>
      <c r="B2551" s="4">
        <v>69</v>
      </c>
      <c r="C2551" s="3" t="str">
        <f ca="1">IFERROR(ROWSDUMMYFUNCTION(IF(A2551="","",IFERROR(IMAGE(CONCATENATE("https://us.pandora.net/on/demandware.static/-/Sites-pandora-master-catalog/default/dwbb259ca6/productimages/singlepackshot/",LEFT(A2551,FIND("-",A2551&amp;"-")-1),"_RGB.png")),""))),"{""url"":""https://us.pandora.net/on/demandware.static/-/Sites-pandora-master-catalog/default/dwbb259ca6/productimages/singlepackshot/593090C00_RGB.png"",""mode"":1}")</f>
        <v>{"url":"https://us.pandora.net/on/demandware.static/-/Sites-pandora-master-catalog/default/dwbb259ca6/productimages/singlepackshot/593090C00_RGB.png","mode":1}</v>
      </c>
      <c r="D2551" s="5" t="str">
        <f ca="1">IFERROR(ROWSDUMMYFUNCTION(IF(A2551="","",CONCATENATE("https://us.pandora.net/on/demandware.static/-/Sites-pandora-master-catalog/default/dwbb259ca6/productimages/singlepackshot/",LEFT(A2551,FIND("-",A2551&amp;"-")-1),"_RGB.png"))),"https://us.pandora.net/on/demandware.static/-/Sites-pandora-master-catalog/default/dwbb259ca6/productimages/singlepackshot/593090C00_RGB.png")</f>
        <v>https://us.pandora.net/on/demandware.static/-/Sites-pandora-master-catalog/default/dwbb259ca6/productimages/singlepackshot/593090C00_RGB.png</v>
      </c>
    </row>
    <row r="2552" spans="1:4" x14ac:dyDescent="0.25">
      <c r="A2552" s="3" t="s">
        <v>2554</v>
      </c>
      <c r="B2552" s="4">
        <v>159</v>
      </c>
      <c r="C2552" s="3" t="str">
        <f ca="1">IFERROR(ROWSDUMMYFUNCTION(IF(A2552="","",IFERROR(IMAGE(CONCATENATE("https://us.pandora.net/on/demandware.static/-/Sites-pandora-master-catalog/default/dwbb259ca6/productimages/singlepackshot/",LEFT(A2552,FIND("-",A2552&amp;"-")-1),"_RGB.png")),""))),"{""url"":""https://us.pandora.net/on/demandware.static/-/Sites-pandora-master-catalog/default/dwbb259ca6/productimages/singlepackshot/593172C01_RGB.png"",""mode"":1}")</f>
        <v>{"url":"https://us.pandora.net/on/demandware.static/-/Sites-pandora-master-catalog/default/dwbb259ca6/productimages/singlepackshot/593172C01_RGB.png","mode":1}</v>
      </c>
      <c r="D2552" s="5" t="str">
        <f ca="1">IFERROR(ROWSDUMMYFUNCTION(IF(A2552="","",CONCATENATE("https://us.pandora.net/on/demandware.static/-/Sites-pandora-master-catalog/default/dwbb259ca6/productimages/singlepackshot/",LEFT(A2552,FIND("-",A2552&amp;"-")-1),"_RGB.png"))),"https://us.pandora.net/on/demandware.static/-/Sites-pandora-master-catalog/default/dwbb259ca6/productimages/singlepackshot/593172C01_RGB.png")</f>
        <v>https://us.pandora.net/on/demandware.static/-/Sites-pandora-master-catalog/default/dwbb259ca6/productimages/singlepackshot/593172C01_RGB.png</v>
      </c>
    </row>
    <row r="2553" spans="1:4" x14ac:dyDescent="0.25">
      <c r="A2553" s="3" t="s">
        <v>2555</v>
      </c>
      <c r="B2553" s="4">
        <v>159</v>
      </c>
      <c r="C2553" s="3" t="str">
        <f ca="1">IFERROR(ROWSDUMMYFUNCTION(IF(A2553="","",IFERROR(IMAGE(CONCATENATE("https://us.pandora.net/on/demandware.static/-/Sites-pandora-master-catalog/default/dwbb259ca6/productimages/singlepackshot/",LEFT(A2553,FIND("-",A2553&amp;"-")-1),"_RGB.png")),""))),"{""url"":""https://us.pandora.net/on/demandware.static/-/Sites-pandora-master-catalog/default/dwbb259ca6/productimages/singlepackshot/593172C01_RGB.png"",""mode"":1}")</f>
        <v>{"url":"https://us.pandora.net/on/demandware.static/-/Sites-pandora-master-catalog/default/dwbb259ca6/productimages/singlepackshot/593172C01_RGB.png","mode":1}</v>
      </c>
      <c r="D2553" s="5" t="str">
        <f ca="1">IFERROR(ROWSDUMMYFUNCTION(IF(A2553="","",CONCATENATE("https://us.pandora.net/on/demandware.static/-/Sites-pandora-master-catalog/default/dwbb259ca6/productimages/singlepackshot/",LEFT(A2553,FIND("-",A2553&amp;"-")-1),"_RGB.png"))),"https://us.pandora.net/on/demandware.static/-/Sites-pandora-master-catalog/default/dwbb259ca6/productimages/singlepackshot/593172C01_RGB.png")</f>
        <v>https://us.pandora.net/on/demandware.static/-/Sites-pandora-master-catalog/default/dwbb259ca6/productimages/singlepackshot/593172C01_RGB.png</v>
      </c>
    </row>
    <row r="2554" spans="1:4" x14ac:dyDescent="0.25">
      <c r="A2554" s="3" t="s">
        <v>2556</v>
      </c>
      <c r="B2554" s="4">
        <v>159</v>
      </c>
      <c r="C2554" s="3" t="str">
        <f ca="1">IFERROR(ROWSDUMMYFUNCTION(IF(A2554="","",IFERROR(IMAGE(CONCATENATE("https://us.pandora.net/on/demandware.static/-/Sites-pandora-master-catalog/default/dwbb259ca6/productimages/singlepackshot/",LEFT(A2554,FIND("-",A2554&amp;"-")-1),"_RGB.png")),""))),"{""url"":""https://us.pandora.net/on/demandware.static/-/Sites-pandora-master-catalog/default/dwbb259ca6/productimages/singlepackshot/593172C01_RGB.png"",""mode"":1}")</f>
        <v>{"url":"https://us.pandora.net/on/demandware.static/-/Sites-pandora-master-catalog/default/dwbb259ca6/productimages/singlepackshot/593172C01_RGB.png","mode":1}</v>
      </c>
      <c r="D2554" s="5" t="str">
        <f ca="1">IFERROR(ROWSDUMMYFUNCTION(IF(A2554="","",CONCATENATE("https://us.pandora.net/on/demandware.static/-/Sites-pandora-master-catalog/default/dwbb259ca6/productimages/singlepackshot/",LEFT(A2554,FIND("-",A2554&amp;"-")-1),"_RGB.png"))),"https://us.pandora.net/on/demandware.static/-/Sites-pandora-master-catalog/default/dwbb259ca6/productimages/singlepackshot/593172C01_RGB.png")</f>
        <v>https://us.pandora.net/on/demandware.static/-/Sites-pandora-master-catalog/default/dwbb259ca6/productimages/singlepackshot/593172C01_RGB.png</v>
      </c>
    </row>
    <row r="2555" spans="1:4" x14ac:dyDescent="0.25">
      <c r="A2555" s="3" t="s">
        <v>2557</v>
      </c>
      <c r="B2555" s="4">
        <v>99</v>
      </c>
      <c r="C2555" s="3" t="str">
        <f ca="1">IFERROR(ROWSDUMMYFUNCTION(IF(A2555="","",IFERROR(IMAGE(CONCATENATE("https://us.pandora.net/on/demandware.static/-/Sites-pandora-master-catalog/default/dwbb259ca6/productimages/singlepackshot/",LEFT(A2555,FIND("-",A2555&amp;"-")-1),"_RGB.png")),""))),"{""url"":""https://us.pandora.net/on/demandware.static/-/Sites-pandora-master-catalog/default/dwbb259ca6/productimages/singlepackshot/593173C01_RGB.png"",""mode"":1}")</f>
        <v>{"url":"https://us.pandora.net/on/demandware.static/-/Sites-pandora-master-catalog/default/dwbb259ca6/productimages/singlepackshot/593173C01_RGB.png","mode":1}</v>
      </c>
      <c r="D2555" s="5" t="str">
        <f ca="1">IFERROR(ROWSDUMMYFUNCTION(IF(A2555="","",CONCATENATE("https://us.pandora.net/on/demandware.static/-/Sites-pandora-master-catalog/default/dwbb259ca6/productimages/singlepackshot/",LEFT(A2555,FIND("-",A2555&amp;"-")-1),"_RGB.png"))),"https://us.pandora.net/on/demandware.static/-/Sites-pandora-master-catalog/default/dwbb259ca6/productimages/singlepackshot/593173C01_RGB.png")</f>
        <v>https://us.pandora.net/on/demandware.static/-/Sites-pandora-master-catalog/default/dwbb259ca6/productimages/singlepackshot/593173C01_RGB.png</v>
      </c>
    </row>
    <row r="2556" spans="1:4" x14ac:dyDescent="0.25">
      <c r="A2556" s="3" t="s">
        <v>2558</v>
      </c>
      <c r="B2556" s="4">
        <v>99</v>
      </c>
      <c r="C2556" s="3" t="str">
        <f ca="1">IFERROR(ROWSDUMMYFUNCTION(IF(A2556="","",IFERROR(IMAGE(CONCATENATE("https://us.pandora.net/on/demandware.static/-/Sites-pandora-master-catalog/default/dwbb259ca6/productimages/singlepackshot/",LEFT(A2556,FIND("-",A2556&amp;"-")-1),"_RGB.png")),""))),"{""url"":""https://us.pandora.net/on/demandware.static/-/Sites-pandora-master-catalog/default/dwbb259ca6/productimages/singlepackshot/593173C01_RGB.png"",""mode"":1}")</f>
        <v>{"url":"https://us.pandora.net/on/demandware.static/-/Sites-pandora-master-catalog/default/dwbb259ca6/productimages/singlepackshot/593173C01_RGB.png","mode":1}</v>
      </c>
      <c r="D2556" s="5" t="str">
        <f ca="1">IFERROR(ROWSDUMMYFUNCTION(IF(A2556="","",CONCATENATE("https://us.pandora.net/on/demandware.static/-/Sites-pandora-master-catalog/default/dwbb259ca6/productimages/singlepackshot/",LEFT(A2556,FIND("-",A2556&amp;"-")-1),"_RGB.png"))),"https://us.pandora.net/on/demandware.static/-/Sites-pandora-master-catalog/default/dwbb259ca6/productimages/singlepackshot/593173C01_RGB.png")</f>
        <v>https://us.pandora.net/on/demandware.static/-/Sites-pandora-master-catalog/default/dwbb259ca6/productimages/singlepackshot/593173C01_RGB.png</v>
      </c>
    </row>
    <row r="2557" spans="1:4" x14ac:dyDescent="0.25">
      <c r="A2557" s="3" t="s">
        <v>2559</v>
      </c>
      <c r="B2557" s="4">
        <v>99</v>
      </c>
      <c r="C2557" s="3" t="str">
        <f ca="1">IFERROR(ROWSDUMMYFUNCTION(IF(A2557="","",IFERROR(IMAGE(CONCATENATE("https://us.pandora.net/on/demandware.static/-/Sites-pandora-master-catalog/default/dwbb259ca6/productimages/singlepackshot/",LEFT(A2557,FIND("-",A2557&amp;"-")-1),"_RGB.png")),""))),"{""url"":""https://us.pandora.net/on/demandware.static/-/Sites-pandora-master-catalog/default/dwbb259ca6/productimages/singlepackshot/593173C01_RGB.png"",""mode"":1}")</f>
        <v>{"url":"https://us.pandora.net/on/demandware.static/-/Sites-pandora-master-catalog/default/dwbb259ca6/productimages/singlepackshot/593173C01_RGB.png","mode":1}</v>
      </c>
      <c r="D2557" s="5" t="str">
        <f ca="1">IFERROR(ROWSDUMMYFUNCTION(IF(A2557="","",CONCATENATE("https://us.pandora.net/on/demandware.static/-/Sites-pandora-master-catalog/default/dwbb259ca6/productimages/singlepackshot/",LEFT(A2557,FIND("-",A2557&amp;"-")-1),"_RGB.png"))),"https://us.pandora.net/on/demandware.static/-/Sites-pandora-master-catalog/default/dwbb259ca6/productimages/singlepackshot/593173C01_RGB.png")</f>
        <v>https://us.pandora.net/on/demandware.static/-/Sites-pandora-master-catalog/default/dwbb259ca6/productimages/singlepackshot/593173C01_RGB.png</v>
      </c>
    </row>
    <row r="2558" spans="1:4" x14ac:dyDescent="0.25">
      <c r="A2558" s="3" t="s">
        <v>2560</v>
      </c>
      <c r="B2558" s="4">
        <v>119</v>
      </c>
      <c r="C2558" s="3" t="str">
        <f ca="1">IFERROR(ROWSDUMMYFUNCTION(IF(A2558="","",IFERROR(IMAGE(CONCATENATE("https://us.pandora.net/on/demandware.static/-/Sites-pandora-master-catalog/default/dwbb259ca6/productimages/singlepackshot/",LEFT(A2558,FIND("-",A2558&amp;"-")-1),"_RGB.png")),""))),"{""url"":""https://us.pandora.net/on/demandware.static/-/Sites-pandora-master-catalog/default/dwbb259ca6/productimages/singlepackshot/593317C00_RGB.png"",""mode"":1}")</f>
        <v>{"url":"https://us.pandora.net/on/demandware.static/-/Sites-pandora-master-catalog/default/dwbb259ca6/productimages/singlepackshot/593317C00_RGB.png","mode":1}</v>
      </c>
      <c r="D2558" s="5" t="str">
        <f ca="1">IFERROR(ROWSDUMMYFUNCTION(IF(A2558="","",CONCATENATE("https://us.pandora.net/on/demandware.static/-/Sites-pandora-master-catalog/default/dwbb259ca6/productimages/singlepackshot/",LEFT(A2558,FIND("-",A2558&amp;"-")-1),"_RGB.png"))),"https://us.pandora.net/on/demandware.static/-/Sites-pandora-master-catalog/default/dwbb259ca6/productimages/singlepackshot/593317C00_RGB.png")</f>
        <v>https://us.pandora.net/on/demandware.static/-/Sites-pandora-master-catalog/default/dwbb259ca6/productimages/singlepackshot/593317C00_RGB.png</v>
      </c>
    </row>
    <row r="2559" spans="1:4" x14ac:dyDescent="0.25">
      <c r="A2559" s="3" t="s">
        <v>2561</v>
      </c>
      <c r="B2559" s="4">
        <v>119</v>
      </c>
      <c r="C2559" s="3" t="str">
        <f ca="1">IFERROR(ROWSDUMMYFUNCTION(IF(A2559="","",IFERROR(IMAGE(CONCATENATE("https://us.pandora.net/on/demandware.static/-/Sites-pandora-master-catalog/default/dwbb259ca6/productimages/singlepackshot/",LEFT(A2559,FIND("-",A2559&amp;"-")-1),"_RGB.png")),""))),"{""url"":""https://us.pandora.net/on/demandware.static/-/Sites-pandora-master-catalog/default/dwbb259ca6/productimages/singlepackshot/593317C00_RGB.png"",""mode"":1}")</f>
        <v>{"url":"https://us.pandora.net/on/demandware.static/-/Sites-pandora-master-catalog/default/dwbb259ca6/productimages/singlepackshot/593317C00_RGB.png","mode":1}</v>
      </c>
      <c r="D2559" s="5" t="str">
        <f ca="1">IFERROR(ROWSDUMMYFUNCTION(IF(A2559="","",CONCATENATE("https://us.pandora.net/on/demandware.static/-/Sites-pandora-master-catalog/default/dwbb259ca6/productimages/singlepackshot/",LEFT(A2559,FIND("-",A2559&amp;"-")-1),"_RGB.png"))),"https://us.pandora.net/on/demandware.static/-/Sites-pandora-master-catalog/default/dwbb259ca6/productimages/singlepackshot/593317C00_RGB.png")</f>
        <v>https://us.pandora.net/on/demandware.static/-/Sites-pandora-master-catalog/default/dwbb259ca6/productimages/singlepackshot/593317C00_RGB.png</v>
      </c>
    </row>
    <row r="2560" spans="1:4" x14ac:dyDescent="0.25">
      <c r="A2560" s="3" t="s">
        <v>2562</v>
      </c>
      <c r="B2560" s="4">
        <v>119</v>
      </c>
      <c r="C2560" s="3" t="str">
        <f ca="1">IFERROR(ROWSDUMMYFUNCTION(IF(A2560="","",IFERROR(IMAGE(CONCATENATE("https://us.pandora.net/on/demandware.static/-/Sites-pandora-master-catalog/default/dwbb259ca6/productimages/singlepackshot/",LEFT(A2560,FIND("-",A2560&amp;"-")-1),"_RGB.png")),""))),"{""url"":""https://us.pandora.net/on/demandware.static/-/Sites-pandora-master-catalog/default/dwbb259ca6/productimages/singlepackshot/593317C00_RGB.png"",""mode"":1}")</f>
        <v>{"url":"https://us.pandora.net/on/demandware.static/-/Sites-pandora-master-catalog/default/dwbb259ca6/productimages/singlepackshot/593317C00_RGB.png","mode":1}</v>
      </c>
      <c r="D2560" s="5" t="str">
        <f ca="1">IFERROR(ROWSDUMMYFUNCTION(IF(A2560="","",CONCATENATE("https://us.pandora.net/on/demandware.static/-/Sites-pandora-master-catalog/default/dwbb259ca6/productimages/singlepackshot/",LEFT(A2560,FIND("-",A2560&amp;"-")-1),"_RGB.png"))),"https://us.pandora.net/on/demandware.static/-/Sites-pandora-master-catalog/default/dwbb259ca6/productimages/singlepackshot/593317C00_RGB.png")</f>
        <v>https://us.pandora.net/on/demandware.static/-/Sites-pandora-master-catalog/default/dwbb259ca6/productimages/singlepackshot/593317C00_RGB.png</v>
      </c>
    </row>
    <row r="2561" spans="1:4" x14ac:dyDescent="0.25">
      <c r="A2561" s="3" t="s">
        <v>2563</v>
      </c>
      <c r="B2561" s="4">
        <v>59</v>
      </c>
      <c r="C2561" s="3" t="str">
        <f ca="1">IFERROR(ROWSDUMMYFUNCTION(IF(A2561="","",IFERROR(IMAGE(CONCATENATE("https://us.pandora.net/on/demandware.static/-/Sites-pandora-master-catalog/default/dwbb259ca6/productimages/singlepackshot/",LEFT(A2561,FIND("-",A2561&amp;"-")-1),"_RGB.png")),""))),"{""url"":""https://us.pandora.net/on/demandware.static/-/Sites-pandora-master-catalog/default/dwbb259ca6/productimages/singlepackshot/593338C01_RGB.png"",""mode"":1}")</f>
        <v>{"url":"https://us.pandora.net/on/demandware.static/-/Sites-pandora-master-catalog/default/dwbb259ca6/productimages/singlepackshot/593338C01_RGB.png","mode":1}</v>
      </c>
      <c r="D2561" s="5" t="str">
        <f ca="1">IFERROR(ROWSDUMMYFUNCTION(IF(A2561="","",CONCATENATE("https://us.pandora.net/on/demandware.static/-/Sites-pandora-master-catalog/default/dwbb259ca6/productimages/singlepackshot/",LEFT(A2561,FIND("-",A2561&amp;"-")-1),"_RGB.png"))),"https://us.pandora.net/on/demandware.static/-/Sites-pandora-master-catalog/default/dwbb259ca6/productimages/singlepackshot/593338C01_RGB.png")</f>
        <v>https://us.pandora.net/on/demandware.static/-/Sites-pandora-master-catalog/default/dwbb259ca6/productimages/singlepackshot/593338C01_RGB.png</v>
      </c>
    </row>
    <row r="2562" spans="1:4" x14ac:dyDescent="0.25">
      <c r="A2562" s="3" t="s">
        <v>2564</v>
      </c>
      <c r="B2562" s="4">
        <v>49</v>
      </c>
      <c r="C2562" s="3" t="str">
        <f ca="1">IFERROR(ROWSDUMMYFUNCTION(IF(A2562="","",IFERROR(IMAGE(CONCATENATE("https://us.pandora.net/on/demandware.static/-/Sites-pandora-master-catalog/default/dwbb259ca6/productimages/singlepackshot/",LEFT(A2562,FIND("-",A2562&amp;"-")-1),"_RGB.png")),""))),"{""url"":""https://us.pandora.net/on/demandware.static/-/Sites-pandora-master-catalog/default/dwbb259ca6/productimages/singlepackshot/593361C01_RGB.png"",""mode"":1}")</f>
        <v>{"url":"https://us.pandora.net/on/demandware.static/-/Sites-pandora-master-catalog/default/dwbb259ca6/productimages/singlepackshot/593361C01_RGB.png","mode":1}</v>
      </c>
      <c r="D2562" s="5" t="str">
        <f ca="1">IFERROR(ROWSDUMMYFUNCTION(IF(A2562="","",CONCATENATE("https://us.pandora.net/on/demandware.static/-/Sites-pandora-master-catalog/default/dwbb259ca6/productimages/singlepackshot/",LEFT(A2562,FIND("-",A2562&amp;"-")-1),"_RGB.png"))),"https://us.pandora.net/on/demandware.static/-/Sites-pandora-master-catalog/default/dwbb259ca6/productimages/singlepackshot/593361C01_RGB.png")</f>
        <v>https://us.pandora.net/on/demandware.static/-/Sites-pandora-master-catalog/default/dwbb259ca6/productimages/singlepackshot/593361C01_RGB.png</v>
      </c>
    </row>
    <row r="2563" spans="1:4" x14ac:dyDescent="0.25">
      <c r="A2563" s="3" t="s">
        <v>2565</v>
      </c>
      <c r="B2563" s="4">
        <v>49</v>
      </c>
      <c r="C2563" s="3" t="str">
        <f ca="1">IFERROR(ROWSDUMMYFUNCTION(IF(A2563="","",IFERROR(IMAGE(CONCATENATE("https://us.pandora.net/on/demandware.static/-/Sites-pandora-master-catalog/default/dwbb259ca6/productimages/singlepackshot/",LEFT(A2563,FIND("-",A2563&amp;"-")-1),"_RGB.png")),""))),"{""url"":""https://us.pandora.net/on/demandware.static/-/Sites-pandora-master-catalog/default/dwbb259ca6/productimages/singlepackshot/593361C01_RGB.png"",""mode"":1}")</f>
        <v>{"url":"https://us.pandora.net/on/demandware.static/-/Sites-pandora-master-catalog/default/dwbb259ca6/productimages/singlepackshot/593361C01_RGB.png","mode":1}</v>
      </c>
      <c r="D2563" s="5" t="str">
        <f ca="1">IFERROR(ROWSDUMMYFUNCTION(IF(A2563="","",CONCATENATE("https://us.pandora.net/on/demandware.static/-/Sites-pandora-master-catalog/default/dwbb259ca6/productimages/singlepackshot/",LEFT(A2563,FIND("-",A2563&amp;"-")-1),"_RGB.png"))),"https://us.pandora.net/on/demandware.static/-/Sites-pandora-master-catalog/default/dwbb259ca6/productimages/singlepackshot/593361C01_RGB.png")</f>
        <v>https://us.pandora.net/on/demandware.static/-/Sites-pandora-master-catalog/default/dwbb259ca6/productimages/singlepackshot/593361C01_RGB.png</v>
      </c>
    </row>
    <row r="2564" spans="1:4" x14ac:dyDescent="0.25">
      <c r="A2564" s="3" t="s">
        <v>2566</v>
      </c>
      <c r="B2564" s="4">
        <v>49</v>
      </c>
      <c r="C2564" s="3" t="str">
        <f ca="1">IFERROR(ROWSDUMMYFUNCTION(IF(A2564="","",IFERROR(IMAGE(CONCATENATE("https://us.pandora.net/on/demandware.static/-/Sites-pandora-master-catalog/default/dwbb259ca6/productimages/singlepackshot/",LEFT(A2564,FIND("-",A2564&amp;"-")-1),"_RGB.png")),""))),"{""url"":""https://us.pandora.net/on/demandware.static/-/Sites-pandora-master-catalog/default/dwbb259ca6/productimages/singlepackshot/593361C01_RGB.png"",""mode"":1}")</f>
        <v>{"url":"https://us.pandora.net/on/demandware.static/-/Sites-pandora-master-catalog/default/dwbb259ca6/productimages/singlepackshot/593361C01_RGB.png","mode":1}</v>
      </c>
      <c r="D2564" s="5" t="str">
        <f ca="1">IFERROR(ROWSDUMMYFUNCTION(IF(A2564="","",CONCATENATE("https://us.pandora.net/on/demandware.static/-/Sites-pandora-master-catalog/default/dwbb259ca6/productimages/singlepackshot/",LEFT(A2564,FIND("-",A2564&amp;"-")-1),"_RGB.png"))),"https://us.pandora.net/on/demandware.static/-/Sites-pandora-master-catalog/default/dwbb259ca6/productimages/singlepackshot/593361C01_RGB.png")</f>
        <v>https://us.pandora.net/on/demandware.static/-/Sites-pandora-master-catalog/default/dwbb259ca6/productimages/singlepackshot/593361C01_RGB.png</v>
      </c>
    </row>
    <row r="2565" spans="1:4" x14ac:dyDescent="0.25">
      <c r="A2565" s="3" t="s">
        <v>2567</v>
      </c>
      <c r="B2565" s="4">
        <v>99</v>
      </c>
      <c r="C2565" s="3" t="str">
        <f ca="1">IFERROR(ROWSDUMMYFUNCTION(IF(A2565="","",IFERROR(IMAGE(CONCATENATE("https://us.pandora.net/on/demandware.static/-/Sites-pandora-master-catalog/default/dwbb259ca6/productimages/singlepackshot/",LEFT(A2565,FIND("-",A2565&amp;"-")-1),"_RGB.png")),""))),"{""url"":""https://us.pandora.net/on/demandware.static/-/Sites-pandora-master-catalog/default/dwbb259ca6/productimages/singlepackshot/593363C00_RGB.png"",""mode"":1}")</f>
        <v>{"url":"https://us.pandora.net/on/demandware.static/-/Sites-pandora-master-catalog/default/dwbb259ca6/productimages/singlepackshot/593363C00_RGB.png","mode":1}</v>
      </c>
      <c r="D2565" s="5" t="str">
        <f ca="1">IFERROR(ROWSDUMMYFUNCTION(IF(A2565="","",CONCATENATE("https://us.pandora.net/on/demandware.static/-/Sites-pandora-master-catalog/default/dwbb259ca6/productimages/singlepackshot/",LEFT(A2565,FIND("-",A2565&amp;"-")-1),"_RGB.png"))),"https://us.pandora.net/on/demandware.static/-/Sites-pandora-master-catalog/default/dwbb259ca6/productimages/singlepackshot/593363C00_RGB.png")</f>
        <v>https://us.pandora.net/on/demandware.static/-/Sites-pandora-master-catalog/default/dwbb259ca6/productimages/singlepackshot/593363C00_RGB.png</v>
      </c>
    </row>
    <row r="2566" spans="1:4" x14ac:dyDescent="0.25">
      <c r="A2566" s="3" t="s">
        <v>2568</v>
      </c>
      <c r="B2566" s="4">
        <v>99</v>
      </c>
      <c r="C2566" s="3" t="str">
        <f ca="1">IFERROR(ROWSDUMMYFUNCTION(IF(A2566="","",IFERROR(IMAGE(CONCATENATE("https://us.pandora.net/on/demandware.static/-/Sites-pandora-master-catalog/default/dwbb259ca6/productimages/singlepackshot/",LEFT(A2566,FIND("-",A2566&amp;"-")-1),"_RGB.png")),""))),"{""url"":""https://us.pandora.net/on/demandware.static/-/Sites-pandora-master-catalog/default/dwbb259ca6/productimages/singlepackshot/593363C00_RGB.png"",""mode"":1}")</f>
        <v>{"url":"https://us.pandora.net/on/demandware.static/-/Sites-pandora-master-catalog/default/dwbb259ca6/productimages/singlepackshot/593363C00_RGB.png","mode":1}</v>
      </c>
      <c r="D2566" s="5" t="str">
        <f ca="1">IFERROR(ROWSDUMMYFUNCTION(IF(A2566="","",CONCATENATE("https://us.pandora.net/on/demandware.static/-/Sites-pandora-master-catalog/default/dwbb259ca6/productimages/singlepackshot/",LEFT(A2566,FIND("-",A2566&amp;"-")-1),"_RGB.png"))),"https://us.pandora.net/on/demandware.static/-/Sites-pandora-master-catalog/default/dwbb259ca6/productimages/singlepackshot/593363C00_RGB.png")</f>
        <v>https://us.pandora.net/on/demandware.static/-/Sites-pandora-master-catalog/default/dwbb259ca6/productimages/singlepackshot/593363C00_RGB.png</v>
      </c>
    </row>
    <row r="2567" spans="1:4" x14ac:dyDescent="0.25">
      <c r="A2567" s="3" t="s">
        <v>2569</v>
      </c>
      <c r="B2567" s="4">
        <v>99</v>
      </c>
      <c r="C2567" s="3" t="str">
        <f ca="1">IFERROR(ROWSDUMMYFUNCTION(IF(A2567="","",IFERROR(IMAGE(CONCATENATE("https://us.pandora.net/on/demandware.static/-/Sites-pandora-master-catalog/default/dwbb259ca6/productimages/singlepackshot/",LEFT(A2567,FIND("-",A2567&amp;"-")-1),"_RGB.png")),""))),"{""url"":""https://us.pandora.net/on/demandware.static/-/Sites-pandora-master-catalog/default/dwbb259ca6/productimages/singlepackshot/593363C00_RGB.png"",""mode"":1}")</f>
        <v>{"url":"https://us.pandora.net/on/demandware.static/-/Sites-pandora-master-catalog/default/dwbb259ca6/productimages/singlepackshot/593363C00_RGB.png","mode":1}</v>
      </c>
      <c r="D2567" s="5" t="str">
        <f ca="1">IFERROR(ROWSDUMMYFUNCTION(IF(A2567="","",CONCATENATE("https://us.pandora.net/on/demandware.static/-/Sites-pandora-master-catalog/default/dwbb259ca6/productimages/singlepackshot/",LEFT(A2567,FIND("-",A2567&amp;"-")-1),"_RGB.png"))),"https://us.pandora.net/on/demandware.static/-/Sites-pandora-master-catalog/default/dwbb259ca6/productimages/singlepackshot/593363C00_RGB.png")</f>
        <v>https://us.pandora.net/on/demandware.static/-/Sites-pandora-master-catalog/default/dwbb259ca6/productimages/singlepackshot/593363C00_RGB.png</v>
      </c>
    </row>
    <row r="2568" spans="1:4" x14ac:dyDescent="0.25">
      <c r="A2568" s="3" t="s">
        <v>2570</v>
      </c>
      <c r="B2568" s="4">
        <v>99</v>
      </c>
      <c r="C2568" s="3" t="str">
        <f ca="1">IFERROR(ROWSDUMMYFUNCTION(IF(A2568="","",IFERROR(IMAGE(CONCATENATE("https://us.pandora.net/on/demandware.static/-/Sites-pandora-master-catalog/default/dwbb259ca6/productimages/singlepackshot/",LEFT(A2568,FIND("-",A2568&amp;"-")-1),"_RGB.png")),""))),"{""url"":""https://us.pandora.net/on/demandware.static/-/Sites-pandora-master-catalog/default/dwbb259ca6/productimages/singlepackshot/593363C00_RGB.png"",""mode"":1}")</f>
        <v>{"url":"https://us.pandora.net/on/demandware.static/-/Sites-pandora-master-catalog/default/dwbb259ca6/productimages/singlepackshot/593363C00_RGB.png","mode":1}</v>
      </c>
      <c r="D2568" s="5" t="str">
        <f ca="1">IFERROR(ROWSDUMMYFUNCTION(IF(A2568="","",CONCATENATE("https://us.pandora.net/on/demandware.static/-/Sites-pandora-master-catalog/default/dwbb259ca6/productimages/singlepackshot/",LEFT(A2568,FIND("-",A2568&amp;"-")-1),"_RGB.png"))),"https://us.pandora.net/on/demandware.static/-/Sites-pandora-master-catalog/default/dwbb259ca6/productimages/singlepackshot/593363C00_RGB.png")</f>
        <v>https://us.pandora.net/on/demandware.static/-/Sites-pandora-master-catalog/default/dwbb259ca6/productimages/singlepackshot/593363C00_RGB.png</v>
      </c>
    </row>
    <row r="2569" spans="1:4" x14ac:dyDescent="0.25">
      <c r="A2569" s="3" t="s">
        <v>2571</v>
      </c>
      <c r="B2569" s="4">
        <v>99</v>
      </c>
      <c r="C2569" s="3" t="str">
        <f ca="1">IFERROR(ROWSDUMMYFUNCTION(IF(A2569="","",IFERROR(IMAGE(CONCATENATE("https://us.pandora.net/on/demandware.static/-/Sites-pandora-master-catalog/default/dwbb259ca6/productimages/singlepackshot/",LEFT(A2569,FIND("-",A2569&amp;"-")-1),"_RGB.png")),""))),"{""url"":""https://us.pandora.net/on/demandware.static/-/Sites-pandora-master-catalog/default/dwbb259ca6/productimages/singlepackshot/593363C00_RGB.png"",""mode"":1}")</f>
        <v>{"url":"https://us.pandora.net/on/demandware.static/-/Sites-pandora-master-catalog/default/dwbb259ca6/productimages/singlepackshot/593363C00_RGB.png","mode":1}</v>
      </c>
      <c r="D2569" s="5" t="str">
        <f ca="1">IFERROR(ROWSDUMMYFUNCTION(IF(A2569="","",CONCATENATE("https://us.pandora.net/on/demandware.static/-/Sites-pandora-master-catalog/default/dwbb259ca6/productimages/singlepackshot/",LEFT(A2569,FIND("-",A2569&amp;"-")-1),"_RGB.png"))),"https://us.pandora.net/on/demandware.static/-/Sites-pandora-master-catalog/default/dwbb259ca6/productimages/singlepackshot/593363C00_RGB.png")</f>
        <v>https://us.pandora.net/on/demandware.static/-/Sites-pandora-master-catalog/default/dwbb259ca6/productimages/singlepackshot/593363C00_RGB.png</v>
      </c>
    </row>
    <row r="2570" spans="1:4" x14ac:dyDescent="0.25">
      <c r="A2570" s="3" t="s">
        <v>2572</v>
      </c>
      <c r="B2570" s="4">
        <v>69</v>
      </c>
      <c r="C2570" s="3" t="str">
        <f ca="1">IFERROR(ROWSDUMMYFUNCTION(IF(A2570="","",IFERROR(IMAGE(CONCATENATE("https://us.pandora.net/on/demandware.static/-/Sites-pandora-master-catalog/default/dwbb259ca6/productimages/singlepackshot/",LEFT(A2570,FIND("-",A2570&amp;"-")-1),"_RGB.png")),""))),"{""url"":""https://us.pandora.net/on/demandware.static/-/Sites-pandora-master-catalog/default/dwbb259ca6/productimages/singlepackshot/593400C01_RGB.png"",""mode"":1}")</f>
        <v>{"url":"https://us.pandora.net/on/demandware.static/-/Sites-pandora-master-catalog/default/dwbb259ca6/productimages/singlepackshot/593400C01_RGB.png","mode":1}</v>
      </c>
      <c r="D2570" s="5" t="str">
        <f ca="1">IFERROR(ROWSDUMMYFUNCTION(IF(A2570="","",CONCATENATE("https://us.pandora.net/on/demandware.static/-/Sites-pandora-master-catalog/default/dwbb259ca6/productimages/singlepackshot/",LEFT(A2570,FIND("-",A2570&amp;"-")-1),"_RGB.png"))),"https://us.pandora.net/on/demandware.static/-/Sites-pandora-master-catalog/default/dwbb259ca6/productimages/singlepackshot/593400C01_RGB.png")</f>
        <v>https://us.pandora.net/on/demandware.static/-/Sites-pandora-master-catalog/default/dwbb259ca6/productimages/singlepackshot/593400C01_RGB.png</v>
      </c>
    </row>
    <row r="2571" spans="1:4" x14ac:dyDescent="0.25">
      <c r="A2571" s="3" t="s">
        <v>2573</v>
      </c>
      <c r="B2571" s="4">
        <v>69</v>
      </c>
      <c r="C2571" s="3" t="str">
        <f ca="1">IFERROR(ROWSDUMMYFUNCTION(IF(A2571="","",IFERROR(IMAGE(CONCATENATE("https://us.pandora.net/on/demandware.static/-/Sites-pandora-master-catalog/default/dwbb259ca6/productimages/singlepackshot/",LEFT(A2571,FIND("-",A2571&amp;"-")-1),"_RGB.png")),""))),"{""url"":""https://us.pandora.net/on/demandware.static/-/Sites-pandora-master-catalog/default/dwbb259ca6/productimages/singlepackshot/593400C01_RGB.png"",""mode"":1}")</f>
        <v>{"url":"https://us.pandora.net/on/demandware.static/-/Sites-pandora-master-catalog/default/dwbb259ca6/productimages/singlepackshot/593400C01_RGB.png","mode":1}</v>
      </c>
      <c r="D2571" s="5" t="str">
        <f ca="1">IFERROR(ROWSDUMMYFUNCTION(IF(A2571="","",CONCATENATE("https://us.pandora.net/on/demandware.static/-/Sites-pandora-master-catalog/default/dwbb259ca6/productimages/singlepackshot/",LEFT(A2571,FIND("-",A2571&amp;"-")-1),"_RGB.png"))),"https://us.pandora.net/on/demandware.static/-/Sites-pandora-master-catalog/default/dwbb259ca6/productimages/singlepackshot/593400C01_RGB.png")</f>
        <v>https://us.pandora.net/on/demandware.static/-/Sites-pandora-master-catalog/default/dwbb259ca6/productimages/singlepackshot/593400C01_RGB.png</v>
      </c>
    </row>
    <row r="2572" spans="1:4" x14ac:dyDescent="0.25">
      <c r="A2572" s="3" t="s">
        <v>2574</v>
      </c>
      <c r="B2572" s="4">
        <v>69</v>
      </c>
      <c r="C2572" s="3" t="str">
        <f ca="1">IFERROR(ROWSDUMMYFUNCTION(IF(A2572="","",IFERROR(IMAGE(CONCATENATE("https://us.pandora.net/on/demandware.static/-/Sites-pandora-master-catalog/default/dwbb259ca6/productimages/singlepackshot/",LEFT(A2572,FIND("-",A2572&amp;"-")-1),"_RGB.png")),""))),"{""url"":""https://us.pandora.net/on/demandware.static/-/Sites-pandora-master-catalog/default/dwbb259ca6/productimages/singlepackshot/593400C01_RGB.png"",""mode"":1}")</f>
        <v>{"url":"https://us.pandora.net/on/demandware.static/-/Sites-pandora-master-catalog/default/dwbb259ca6/productimages/singlepackshot/593400C01_RGB.png","mode":1}</v>
      </c>
      <c r="D2572" s="5" t="str">
        <f ca="1">IFERROR(ROWSDUMMYFUNCTION(IF(A2572="","",CONCATENATE("https://us.pandora.net/on/demandware.static/-/Sites-pandora-master-catalog/default/dwbb259ca6/productimages/singlepackshot/",LEFT(A2572,FIND("-",A2572&amp;"-")-1),"_RGB.png"))),"https://us.pandora.net/on/demandware.static/-/Sites-pandora-master-catalog/default/dwbb259ca6/productimages/singlepackshot/593400C01_RGB.png")</f>
        <v>https://us.pandora.net/on/demandware.static/-/Sites-pandora-master-catalog/default/dwbb259ca6/productimages/singlepackshot/593400C01_RGB.png</v>
      </c>
    </row>
    <row r="2573" spans="1:4" x14ac:dyDescent="0.25">
      <c r="A2573" s="3" t="s">
        <v>2575</v>
      </c>
      <c r="B2573" s="4">
        <v>119</v>
      </c>
      <c r="C2573" s="3" t="str">
        <f ca="1">IFERROR(ROWSDUMMYFUNCTION(IF(A2573="","",IFERROR(IMAGE(CONCATENATE("https://us.pandora.net/on/demandware.static/-/Sites-pandora-master-catalog/default/dwbb259ca6/productimages/singlepackshot/",LEFT(A2573,FIND("-",A2573&amp;"-")-1),"_RGB.png")),""))),"{""url"":""https://us.pandora.net/on/demandware.static/-/Sites-pandora-master-catalog/default/dwbb259ca6/productimages/singlepackshot/593539C01_RGB.png"",""mode"":1}")</f>
        <v>{"url":"https://us.pandora.net/on/demandware.static/-/Sites-pandora-master-catalog/default/dwbb259ca6/productimages/singlepackshot/593539C01_RGB.png","mode":1}</v>
      </c>
      <c r="D2573" s="5" t="str">
        <f ca="1">IFERROR(ROWSDUMMYFUNCTION(IF(A2573="","",CONCATENATE("https://us.pandora.net/on/demandware.static/-/Sites-pandora-master-catalog/default/dwbb259ca6/productimages/singlepackshot/",LEFT(A2573,FIND("-",A2573&amp;"-")-1),"_RGB.png"))),"https://us.pandora.net/on/demandware.static/-/Sites-pandora-master-catalog/default/dwbb259ca6/productimages/singlepackshot/593539C01_RGB.png")</f>
        <v>https://us.pandora.net/on/demandware.static/-/Sites-pandora-master-catalog/default/dwbb259ca6/productimages/singlepackshot/593539C01_RGB.png</v>
      </c>
    </row>
    <row r="2574" spans="1:4" x14ac:dyDescent="0.25">
      <c r="A2574" s="3" t="s">
        <v>2576</v>
      </c>
      <c r="B2574" s="4">
        <v>119</v>
      </c>
      <c r="C2574" s="3" t="str">
        <f ca="1">IFERROR(ROWSDUMMYFUNCTION(IF(A2574="","",IFERROR(IMAGE(CONCATENATE("https://us.pandora.net/on/demandware.static/-/Sites-pandora-master-catalog/default/dwbb259ca6/productimages/singlepackshot/",LEFT(A2574,FIND("-",A2574&amp;"-")-1),"_RGB.png")),""))),"{""url"":""https://us.pandora.net/on/demandware.static/-/Sites-pandora-master-catalog/default/dwbb259ca6/productimages/singlepackshot/593539C01_RGB.png"",""mode"":1}")</f>
        <v>{"url":"https://us.pandora.net/on/demandware.static/-/Sites-pandora-master-catalog/default/dwbb259ca6/productimages/singlepackshot/593539C01_RGB.png","mode":1}</v>
      </c>
      <c r="D2574" s="5" t="str">
        <f ca="1">IFERROR(ROWSDUMMYFUNCTION(IF(A2574="","",CONCATENATE("https://us.pandora.net/on/demandware.static/-/Sites-pandora-master-catalog/default/dwbb259ca6/productimages/singlepackshot/",LEFT(A2574,FIND("-",A2574&amp;"-")-1),"_RGB.png"))),"https://us.pandora.net/on/demandware.static/-/Sites-pandora-master-catalog/default/dwbb259ca6/productimages/singlepackshot/593539C01_RGB.png")</f>
        <v>https://us.pandora.net/on/demandware.static/-/Sites-pandora-master-catalog/default/dwbb259ca6/productimages/singlepackshot/593539C01_RGB.png</v>
      </c>
    </row>
    <row r="2575" spans="1:4" x14ac:dyDescent="0.25">
      <c r="A2575" s="3" t="s">
        <v>2577</v>
      </c>
      <c r="B2575" s="4">
        <v>119</v>
      </c>
      <c r="C2575" s="3" t="str">
        <f ca="1">IFERROR(ROWSDUMMYFUNCTION(IF(A2575="","",IFERROR(IMAGE(CONCATENATE("https://us.pandora.net/on/demandware.static/-/Sites-pandora-master-catalog/default/dwbb259ca6/productimages/singlepackshot/",LEFT(A2575,FIND("-",A2575&amp;"-")-1),"_RGB.png")),""))),"{""url"":""https://us.pandora.net/on/demandware.static/-/Sites-pandora-master-catalog/default/dwbb259ca6/productimages/singlepackshot/593539C01_RGB.png"",""mode"":1}")</f>
        <v>{"url":"https://us.pandora.net/on/demandware.static/-/Sites-pandora-master-catalog/default/dwbb259ca6/productimages/singlepackshot/593539C01_RGB.png","mode":1}</v>
      </c>
      <c r="D2575" s="5" t="str">
        <f ca="1">IFERROR(ROWSDUMMYFUNCTION(IF(A2575="","",CONCATENATE("https://us.pandora.net/on/demandware.static/-/Sites-pandora-master-catalog/default/dwbb259ca6/productimages/singlepackshot/",LEFT(A2575,FIND("-",A2575&amp;"-")-1),"_RGB.png"))),"https://us.pandora.net/on/demandware.static/-/Sites-pandora-master-catalog/default/dwbb259ca6/productimages/singlepackshot/593539C01_RGB.png")</f>
        <v>https://us.pandora.net/on/demandware.static/-/Sites-pandora-master-catalog/default/dwbb259ca6/productimages/singlepackshot/593539C01_RGB.png</v>
      </c>
    </row>
    <row r="2576" spans="1:4" x14ac:dyDescent="0.25">
      <c r="A2576" s="3" t="s">
        <v>2578</v>
      </c>
      <c r="B2576" s="4">
        <v>89</v>
      </c>
      <c r="C2576" s="3" t="str">
        <f ca="1">IFERROR(ROWSDUMMYFUNCTION(IF(A2576="","",IFERROR(IMAGE(CONCATENATE("https://us.pandora.net/on/demandware.static/-/Sites-pandora-master-catalog/default/dwbb259ca6/productimages/singlepackshot/",LEFT(A2576,FIND("-",A2576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76" s="5" t="str">
        <f ca="1">IFERROR(ROWSDUMMYFUNCTION(IF(A2576="","",CONCATENATE("https://us.pandora.net/on/demandware.static/-/Sites-pandora-master-catalog/default/dwbb259ca6/productimages/singlepackshot/",LEFT(A2576,FIND("-",A2576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77" spans="1:4" x14ac:dyDescent="0.25">
      <c r="A2577" s="3" t="s">
        <v>2579</v>
      </c>
      <c r="B2577" s="4">
        <v>89</v>
      </c>
      <c r="C2577" s="3" t="str">
        <f ca="1">IFERROR(ROWSDUMMYFUNCTION(IF(A2577="","",IFERROR(IMAGE(CONCATENATE("https://us.pandora.net/on/demandware.static/-/Sites-pandora-master-catalog/default/dwbb259ca6/productimages/singlepackshot/",LEFT(A2577,FIND("-",A2577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77" s="5" t="str">
        <f ca="1">IFERROR(ROWSDUMMYFUNCTION(IF(A2577="","",CONCATENATE("https://us.pandora.net/on/demandware.static/-/Sites-pandora-master-catalog/default/dwbb259ca6/productimages/singlepackshot/",LEFT(A2577,FIND("-",A2577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78" spans="1:4" x14ac:dyDescent="0.25">
      <c r="A2578" s="3" t="s">
        <v>2580</v>
      </c>
      <c r="B2578" s="4">
        <v>89</v>
      </c>
      <c r="C2578" s="3" t="str">
        <f ca="1">IFERROR(ROWSDUMMYFUNCTION(IF(A2578="","",IFERROR(IMAGE(CONCATENATE("https://us.pandora.net/on/demandware.static/-/Sites-pandora-master-catalog/default/dwbb259ca6/productimages/singlepackshot/",LEFT(A2578,FIND("-",A2578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78" s="5" t="str">
        <f ca="1">IFERROR(ROWSDUMMYFUNCTION(IF(A2578="","",CONCATENATE("https://us.pandora.net/on/demandware.static/-/Sites-pandora-master-catalog/default/dwbb259ca6/productimages/singlepackshot/",LEFT(A2578,FIND("-",A2578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79" spans="1:4" x14ac:dyDescent="0.25">
      <c r="A2579" s="3" t="s">
        <v>2581</v>
      </c>
      <c r="B2579" s="4">
        <v>89</v>
      </c>
      <c r="C2579" s="3" t="str">
        <f ca="1">IFERROR(ROWSDUMMYFUNCTION(IF(A2579="","",IFERROR(IMAGE(CONCATENATE("https://us.pandora.net/on/demandware.static/-/Sites-pandora-master-catalog/default/dwbb259ca6/productimages/singlepackshot/",LEFT(A2579,FIND("-",A2579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79" s="5" t="str">
        <f ca="1">IFERROR(ROWSDUMMYFUNCTION(IF(A2579="","",CONCATENATE("https://us.pandora.net/on/demandware.static/-/Sites-pandora-master-catalog/default/dwbb259ca6/productimages/singlepackshot/",LEFT(A2579,FIND("-",A2579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80" spans="1:4" x14ac:dyDescent="0.25">
      <c r="A2580" s="3" t="s">
        <v>2582</v>
      </c>
      <c r="B2580" s="4">
        <v>89</v>
      </c>
      <c r="C2580" s="3" t="str">
        <f ca="1">IFERROR(ROWSDUMMYFUNCTION(IF(A2580="","",IFERROR(IMAGE(CONCATENATE("https://us.pandora.net/on/demandware.static/-/Sites-pandora-master-catalog/default/dwbb259ca6/productimages/singlepackshot/",LEFT(A2580,FIND("-",A2580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80" s="5" t="str">
        <f ca="1">IFERROR(ROWSDUMMYFUNCTION(IF(A2580="","",CONCATENATE("https://us.pandora.net/on/demandware.static/-/Sites-pandora-master-catalog/default/dwbb259ca6/productimages/singlepackshot/",LEFT(A2580,FIND("-",A2580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81" spans="1:4" x14ac:dyDescent="0.25">
      <c r="A2581" s="3" t="s">
        <v>2583</v>
      </c>
      <c r="B2581" s="4">
        <v>89</v>
      </c>
      <c r="C2581" s="3" t="str">
        <f ca="1">IFERROR(ROWSDUMMYFUNCTION(IF(A2581="","",IFERROR(IMAGE(CONCATENATE("https://us.pandora.net/on/demandware.static/-/Sites-pandora-master-catalog/default/dwbb259ca6/productimages/singlepackshot/",LEFT(A2581,FIND("-",A2581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81" s="5" t="str">
        <f ca="1">IFERROR(ROWSDUMMYFUNCTION(IF(A2581="","",CONCATENATE("https://us.pandora.net/on/demandware.static/-/Sites-pandora-master-catalog/default/dwbb259ca6/productimages/singlepackshot/",LEFT(A2581,FIND("-",A2581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82" spans="1:4" x14ac:dyDescent="0.25">
      <c r="A2582" s="3" t="s">
        <v>2584</v>
      </c>
      <c r="B2582" s="4">
        <v>89</v>
      </c>
      <c r="C2582" s="3" t="str">
        <f ca="1">IFERROR(ROWSDUMMYFUNCTION(IF(A2582="","",IFERROR(IMAGE(CONCATENATE("https://us.pandora.net/on/demandware.static/-/Sites-pandora-master-catalog/default/dwbb259ca6/productimages/singlepackshot/",LEFT(A2582,FIND("-",A2582&amp;"-")-1),"_RGB.png")),""))),"{""url"":""https://us.pandora.net/on/demandware.static/-/Sites-pandora-master-catalog/default/dwbb259ca6/productimages/singlepackshot/593572C01_RGB.png"",""mode"":1}")</f>
        <v>{"url":"https://us.pandora.net/on/demandware.static/-/Sites-pandora-master-catalog/default/dwbb259ca6/productimages/singlepackshot/593572C01_RGB.png","mode":1}</v>
      </c>
      <c r="D2582" s="5" t="str">
        <f ca="1">IFERROR(ROWSDUMMYFUNCTION(IF(A2582="","",CONCATENATE("https://us.pandora.net/on/demandware.static/-/Sites-pandora-master-catalog/default/dwbb259ca6/productimages/singlepackshot/",LEFT(A2582,FIND("-",A2582&amp;"-")-1),"_RGB.png"))),"https://us.pandora.net/on/demandware.static/-/Sites-pandora-master-catalog/default/dwbb259ca6/productimages/singlepackshot/593572C01_RGB.png")</f>
        <v>https://us.pandora.net/on/demandware.static/-/Sites-pandora-master-catalog/default/dwbb259ca6/productimages/singlepackshot/593572C01_RGB.png</v>
      </c>
    </row>
    <row r="2583" spans="1:4" x14ac:dyDescent="0.25">
      <c r="A2583" s="3" t="s">
        <v>2585</v>
      </c>
      <c r="B2583" s="4">
        <v>139</v>
      </c>
      <c r="C2583" s="3" t="str">
        <f ca="1">IFERROR(ROWSDUMMYFUNCTION(IF(A2583="","",IFERROR(IMAGE(CONCATENATE("https://us.pandora.net/on/demandware.static/-/Sites-pandora-master-catalog/default/dwbb259ca6/productimages/singlepackshot/",LEFT(A2583,FIND("-",A2583&amp;"-")-1),"_RGB.png")),""))),"{""url"":""https://us.pandora.net/on/demandware.static/-/Sites-pandora-master-catalog/default/dwbb259ca6/productimages/singlepackshot/593579C01_RGB.png"",""mode"":1}")</f>
        <v>{"url":"https://us.pandora.net/on/demandware.static/-/Sites-pandora-master-catalog/default/dwbb259ca6/productimages/singlepackshot/593579C01_RGB.png","mode":1}</v>
      </c>
      <c r="D2583" s="5" t="str">
        <f ca="1">IFERROR(ROWSDUMMYFUNCTION(IF(A2583="","",CONCATENATE("https://us.pandora.net/on/demandware.static/-/Sites-pandora-master-catalog/default/dwbb259ca6/productimages/singlepackshot/",LEFT(A2583,FIND("-",A2583&amp;"-")-1),"_RGB.png"))),"https://us.pandora.net/on/demandware.static/-/Sites-pandora-master-catalog/default/dwbb259ca6/productimages/singlepackshot/593579C01_RGB.png")</f>
        <v>https://us.pandora.net/on/demandware.static/-/Sites-pandora-master-catalog/default/dwbb259ca6/productimages/singlepackshot/593579C01_RGB.png</v>
      </c>
    </row>
    <row r="2584" spans="1:4" x14ac:dyDescent="0.25">
      <c r="A2584" s="3" t="s">
        <v>2586</v>
      </c>
      <c r="B2584" s="4">
        <v>139</v>
      </c>
      <c r="C2584" s="3" t="str">
        <f ca="1">IFERROR(ROWSDUMMYFUNCTION(IF(A2584="","",IFERROR(IMAGE(CONCATENATE("https://us.pandora.net/on/demandware.static/-/Sites-pandora-master-catalog/default/dwbb259ca6/productimages/singlepackshot/",LEFT(A2584,FIND("-",A2584&amp;"-")-1),"_RGB.png")),""))),"{""url"":""https://us.pandora.net/on/demandware.static/-/Sites-pandora-master-catalog/default/dwbb259ca6/productimages/singlepackshot/593579C01_RGB.png"",""mode"":1}")</f>
        <v>{"url":"https://us.pandora.net/on/demandware.static/-/Sites-pandora-master-catalog/default/dwbb259ca6/productimages/singlepackshot/593579C01_RGB.png","mode":1}</v>
      </c>
      <c r="D2584" s="5" t="str">
        <f ca="1">IFERROR(ROWSDUMMYFUNCTION(IF(A2584="","",CONCATENATE("https://us.pandora.net/on/demandware.static/-/Sites-pandora-master-catalog/default/dwbb259ca6/productimages/singlepackshot/",LEFT(A2584,FIND("-",A2584&amp;"-")-1),"_RGB.png"))),"https://us.pandora.net/on/demandware.static/-/Sites-pandora-master-catalog/default/dwbb259ca6/productimages/singlepackshot/593579C01_RGB.png")</f>
        <v>https://us.pandora.net/on/demandware.static/-/Sites-pandora-master-catalog/default/dwbb259ca6/productimages/singlepackshot/593579C01_RGB.png</v>
      </c>
    </row>
    <row r="2585" spans="1:4" x14ac:dyDescent="0.25">
      <c r="A2585" s="3" t="s">
        <v>2587</v>
      </c>
      <c r="B2585" s="4">
        <v>139</v>
      </c>
      <c r="C2585" s="3" t="str">
        <f ca="1">IFERROR(ROWSDUMMYFUNCTION(IF(A2585="","",IFERROR(IMAGE(CONCATENATE("https://us.pandora.net/on/demandware.static/-/Sites-pandora-master-catalog/default/dwbb259ca6/productimages/singlepackshot/",LEFT(A2585,FIND("-",A2585&amp;"-")-1),"_RGB.png")),""))),"{""url"":""https://us.pandora.net/on/demandware.static/-/Sites-pandora-master-catalog/default/dwbb259ca6/productimages/singlepackshot/593579C01_RGB.png"",""mode"":1}")</f>
        <v>{"url":"https://us.pandora.net/on/demandware.static/-/Sites-pandora-master-catalog/default/dwbb259ca6/productimages/singlepackshot/593579C01_RGB.png","mode":1}</v>
      </c>
      <c r="D2585" s="5" t="str">
        <f ca="1">IFERROR(ROWSDUMMYFUNCTION(IF(A2585="","",CONCATENATE("https://us.pandora.net/on/demandware.static/-/Sites-pandora-master-catalog/default/dwbb259ca6/productimages/singlepackshot/",LEFT(A2585,FIND("-",A2585&amp;"-")-1),"_RGB.png"))),"https://us.pandora.net/on/demandware.static/-/Sites-pandora-master-catalog/default/dwbb259ca6/productimages/singlepackshot/593579C01_RGB.png")</f>
        <v>https://us.pandora.net/on/demandware.static/-/Sites-pandora-master-catalog/default/dwbb259ca6/productimages/singlepackshot/593579C01_RGB.png</v>
      </c>
    </row>
    <row r="2586" spans="1:4" x14ac:dyDescent="0.25">
      <c r="A2586" s="3" t="s">
        <v>2588</v>
      </c>
      <c r="B2586" s="4">
        <v>79</v>
      </c>
      <c r="C2586" s="3" t="str">
        <f ca="1">IFERROR(ROWSDUMMYFUNCTION(IF(A2586="","",IFERROR(IMAGE(CONCATENATE("https://us.pandora.net/on/demandware.static/-/Sites-pandora-master-catalog/default/dwbb259ca6/productimages/singlepackshot/",LEFT(A2586,FIND("-",A2586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86" s="5" t="str">
        <f ca="1">IFERROR(ROWSDUMMYFUNCTION(IF(A2586="","",CONCATENATE("https://us.pandora.net/on/demandware.static/-/Sites-pandora-master-catalog/default/dwbb259ca6/productimages/singlepackshot/",LEFT(A2586,FIND("-",A2586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87" spans="1:4" x14ac:dyDescent="0.25">
      <c r="A2587" s="3" t="s">
        <v>2589</v>
      </c>
      <c r="B2587" s="4">
        <v>79</v>
      </c>
      <c r="C2587" s="3" t="str">
        <f ca="1">IFERROR(ROWSDUMMYFUNCTION(IF(A2587="","",IFERROR(IMAGE(CONCATENATE("https://us.pandora.net/on/demandware.static/-/Sites-pandora-master-catalog/default/dwbb259ca6/productimages/singlepackshot/",LEFT(A2587,FIND("-",A2587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87" s="5" t="str">
        <f ca="1">IFERROR(ROWSDUMMYFUNCTION(IF(A2587="","",CONCATENATE("https://us.pandora.net/on/demandware.static/-/Sites-pandora-master-catalog/default/dwbb259ca6/productimages/singlepackshot/",LEFT(A2587,FIND("-",A2587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88" spans="1:4" x14ac:dyDescent="0.25">
      <c r="A2588" s="3" t="s">
        <v>2590</v>
      </c>
      <c r="B2588" s="4">
        <v>79</v>
      </c>
      <c r="C2588" s="3" t="str">
        <f ca="1">IFERROR(ROWSDUMMYFUNCTION(IF(A2588="","",IFERROR(IMAGE(CONCATENATE("https://us.pandora.net/on/demandware.static/-/Sites-pandora-master-catalog/default/dwbb259ca6/productimages/singlepackshot/",LEFT(A2588,FIND("-",A2588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88" s="5" t="str">
        <f ca="1">IFERROR(ROWSDUMMYFUNCTION(IF(A2588="","",CONCATENATE("https://us.pandora.net/on/demandware.static/-/Sites-pandora-master-catalog/default/dwbb259ca6/productimages/singlepackshot/",LEFT(A2588,FIND("-",A2588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89" spans="1:4" x14ac:dyDescent="0.25">
      <c r="A2589" s="3" t="s">
        <v>2591</v>
      </c>
      <c r="B2589" s="4">
        <v>79</v>
      </c>
      <c r="C2589" s="3" t="str">
        <f ca="1">IFERROR(ROWSDUMMYFUNCTION(IF(A2589="","",IFERROR(IMAGE(CONCATENATE("https://us.pandora.net/on/demandware.static/-/Sites-pandora-master-catalog/default/dwbb259ca6/productimages/singlepackshot/",LEFT(A2589,FIND("-",A2589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89" s="5" t="str">
        <f ca="1">IFERROR(ROWSDUMMYFUNCTION(IF(A2589="","",CONCATENATE("https://us.pandora.net/on/demandware.static/-/Sites-pandora-master-catalog/default/dwbb259ca6/productimages/singlepackshot/",LEFT(A2589,FIND("-",A2589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90" spans="1:4" x14ac:dyDescent="0.25">
      <c r="A2590" s="3" t="s">
        <v>2592</v>
      </c>
      <c r="B2590" s="4">
        <v>79</v>
      </c>
      <c r="C2590" s="3" t="str">
        <f ca="1">IFERROR(ROWSDUMMYFUNCTION(IF(A2590="","",IFERROR(IMAGE(CONCATENATE("https://us.pandora.net/on/demandware.static/-/Sites-pandora-master-catalog/default/dwbb259ca6/productimages/singlepackshot/",LEFT(A2590,FIND("-",A2590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90" s="5" t="str">
        <f ca="1">IFERROR(ROWSDUMMYFUNCTION(IF(A2590="","",CONCATENATE("https://us.pandora.net/on/demandware.static/-/Sites-pandora-master-catalog/default/dwbb259ca6/productimages/singlepackshot/",LEFT(A2590,FIND("-",A2590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91" spans="1:4" x14ac:dyDescent="0.25">
      <c r="A2591" s="3" t="s">
        <v>2593</v>
      </c>
      <c r="B2591" s="4">
        <v>79</v>
      </c>
      <c r="C2591" s="3" t="str">
        <f ca="1">IFERROR(ROWSDUMMYFUNCTION(IF(A2591="","",IFERROR(IMAGE(CONCATENATE("https://us.pandora.net/on/demandware.static/-/Sites-pandora-master-catalog/default/dwbb259ca6/productimages/singlepackshot/",LEFT(A2591,FIND("-",A2591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91" s="5" t="str">
        <f ca="1">IFERROR(ROWSDUMMYFUNCTION(IF(A2591="","",CONCATENATE("https://us.pandora.net/on/demandware.static/-/Sites-pandora-master-catalog/default/dwbb259ca6/productimages/singlepackshot/",LEFT(A2591,FIND("-",A2591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92" spans="1:4" x14ac:dyDescent="0.25">
      <c r="A2592" s="3" t="s">
        <v>2594</v>
      </c>
      <c r="B2592" s="4">
        <v>79</v>
      </c>
      <c r="C2592" s="3" t="str">
        <f ca="1">IFERROR(ROWSDUMMYFUNCTION(IF(A2592="","",IFERROR(IMAGE(CONCATENATE("https://us.pandora.net/on/demandware.static/-/Sites-pandora-master-catalog/default/dwbb259ca6/productimages/singlepackshot/",LEFT(A2592,FIND("-",A2592&amp;"-")-1),"_RGB.png")),""))),"{""url"":""https://us.pandora.net/on/demandware.static/-/Sites-pandora-master-catalog/default/dwbb259ca6/productimages/singlepackshot/593584C01_RGB.png"",""mode"":1}")</f>
        <v>{"url":"https://us.pandora.net/on/demandware.static/-/Sites-pandora-master-catalog/default/dwbb259ca6/productimages/singlepackshot/593584C01_RGB.png","mode":1}</v>
      </c>
      <c r="D2592" s="5" t="str">
        <f ca="1">IFERROR(ROWSDUMMYFUNCTION(IF(A2592="","",CONCATENATE("https://us.pandora.net/on/demandware.static/-/Sites-pandora-master-catalog/default/dwbb259ca6/productimages/singlepackshot/",LEFT(A2592,FIND("-",A2592&amp;"-")-1),"_RGB.png"))),"https://us.pandora.net/on/demandware.static/-/Sites-pandora-master-catalog/default/dwbb259ca6/productimages/singlepackshot/593584C01_RGB.png")</f>
        <v>https://us.pandora.net/on/demandware.static/-/Sites-pandora-master-catalog/default/dwbb259ca6/productimages/singlepackshot/593584C01_RGB.png</v>
      </c>
    </row>
    <row r="2593" spans="1:4" x14ac:dyDescent="0.25">
      <c r="A2593" s="3" t="s">
        <v>2595</v>
      </c>
      <c r="B2593" s="4">
        <v>249</v>
      </c>
      <c r="C2593" s="3" t="str">
        <f ca="1">IFERROR(ROWSDUMMYFUNCTION(IF(A2593="","",IFERROR(IMAGE(CONCATENATE("https://us.pandora.net/on/demandware.static/-/Sites-pandora-master-catalog/default/dwbb259ca6/productimages/singlepackshot/",LEFT(A2593,FIND("-",A2593&amp;"-")-1),"_RGB.png")),""))),"{""url"":""https://us.pandora.net/on/demandware.static/-/Sites-pandora-master-catalog/default/dwbb259ca6/productimages/singlepackshot/593655C01_RGB.png"",""mode"":1}")</f>
        <v>{"url":"https://us.pandora.net/on/demandware.static/-/Sites-pandora-master-catalog/default/dwbb259ca6/productimages/singlepackshot/593655C01_RGB.png","mode":1}</v>
      </c>
      <c r="D2593" s="5" t="str">
        <f ca="1">IFERROR(ROWSDUMMYFUNCTION(IF(A2593="","",CONCATENATE("https://us.pandora.net/on/demandware.static/-/Sites-pandora-master-catalog/default/dwbb259ca6/productimages/singlepackshot/",LEFT(A2593,FIND("-",A2593&amp;"-")-1),"_RGB.png"))),"https://us.pandora.net/on/demandware.static/-/Sites-pandora-master-catalog/default/dwbb259ca6/productimages/singlepackshot/593655C01_RGB.png")</f>
        <v>https://us.pandora.net/on/demandware.static/-/Sites-pandora-master-catalog/default/dwbb259ca6/productimages/singlepackshot/593655C01_RGB.png</v>
      </c>
    </row>
    <row r="2594" spans="1:4" x14ac:dyDescent="0.25">
      <c r="A2594" s="3" t="s">
        <v>2596</v>
      </c>
      <c r="B2594" s="4">
        <v>249</v>
      </c>
      <c r="C2594" s="3" t="str">
        <f ca="1">IFERROR(ROWSDUMMYFUNCTION(IF(A2594="","",IFERROR(IMAGE(CONCATENATE("https://us.pandora.net/on/demandware.static/-/Sites-pandora-master-catalog/default/dwbb259ca6/productimages/singlepackshot/",LEFT(A2594,FIND("-",A2594&amp;"-")-1),"_RGB.png")),""))),"{""url"":""https://us.pandora.net/on/demandware.static/-/Sites-pandora-master-catalog/default/dwbb259ca6/productimages/singlepackshot/593655C01_RGB.png"",""mode"":1}")</f>
        <v>{"url":"https://us.pandora.net/on/demandware.static/-/Sites-pandora-master-catalog/default/dwbb259ca6/productimages/singlepackshot/593655C01_RGB.png","mode":1}</v>
      </c>
      <c r="D2594" s="5" t="str">
        <f ca="1">IFERROR(ROWSDUMMYFUNCTION(IF(A2594="","",CONCATENATE("https://us.pandora.net/on/demandware.static/-/Sites-pandora-master-catalog/default/dwbb259ca6/productimages/singlepackshot/",LEFT(A2594,FIND("-",A2594&amp;"-")-1),"_RGB.png"))),"https://us.pandora.net/on/demandware.static/-/Sites-pandora-master-catalog/default/dwbb259ca6/productimages/singlepackshot/593655C01_RGB.png")</f>
        <v>https://us.pandora.net/on/demandware.static/-/Sites-pandora-master-catalog/default/dwbb259ca6/productimages/singlepackshot/593655C01_RGB.png</v>
      </c>
    </row>
    <row r="2595" spans="1:4" x14ac:dyDescent="0.25">
      <c r="A2595" s="3" t="s">
        <v>2597</v>
      </c>
      <c r="B2595" s="4">
        <v>249</v>
      </c>
      <c r="C2595" s="3" t="str">
        <f ca="1">IFERROR(ROWSDUMMYFUNCTION(IF(A2595="","",IFERROR(IMAGE(CONCATENATE("https://us.pandora.net/on/demandware.static/-/Sites-pandora-master-catalog/default/dwbb259ca6/productimages/singlepackshot/",LEFT(A2595,FIND("-",A2595&amp;"-")-1),"_RGB.png")),""))),"{""url"":""https://us.pandora.net/on/demandware.static/-/Sites-pandora-master-catalog/default/dwbb259ca6/productimages/singlepackshot/593655C01_RGB.png"",""mode"":1}")</f>
        <v>{"url":"https://us.pandora.net/on/demandware.static/-/Sites-pandora-master-catalog/default/dwbb259ca6/productimages/singlepackshot/593655C01_RGB.png","mode":1}</v>
      </c>
      <c r="D2595" s="5" t="str">
        <f ca="1">IFERROR(ROWSDUMMYFUNCTION(IF(A2595="","",CONCATENATE("https://us.pandora.net/on/demandware.static/-/Sites-pandora-master-catalog/default/dwbb259ca6/productimages/singlepackshot/",LEFT(A2595,FIND("-",A2595&amp;"-")-1),"_RGB.png"))),"https://us.pandora.net/on/demandware.static/-/Sites-pandora-master-catalog/default/dwbb259ca6/productimages/singlepackshot/593655C01_RGB.png")</f>
        <v>https://us.pandora.net/on/demandware.static/-/Sites-pandora-master-catalog/default/dwbb259ca6/productimages/singlepackshot/593655C01_RGB.png</v>
      </c>
    </row>
    <row r="2596" spans="1:4" x14ac:dyDescent="0.25">
      <c r="A2596" s="3" t="s">
        <v>2598</v>
      </c>
      <c r="B2596" s="4">
        <v>69</v>
      </c>
      <c r="C2596" s="3" t="str">
        <f ca="1">IFERROR(ROWSDUMMYFUNCTION(IF(A2596="","",IFERROR(IMAGE(CONCATENATE("https://us.pandora.net/on/demandware.static/-/Sites-pandora-master-catalog/default/dwbb259ca6/productimages/singlepackshot/",LEFT(A2596,FIND("-",A2596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596" s="5" t="str">
        <f ca="1">IFERROR(ROWSDUMMYFUNCTION(IF(A2596="","",CONCATENATE("https://us.pandora.net/on/demandware.static/-/Sites-pandora-master-catalog/default/dwbb259ca6/productimages/singlepackshot/",LEFT(A2596,FIND("-",A2596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597" spans="1:4" x14ac:dyDescent="0.25">
      <c r="A2597" s="3" t="s">
        <v>2599</v>
      </c>
      <c r="B2597" s="4">
        <v>69</v>
      </c>
      <c r="C2597" s="3" t="str">
        <f ca="1">IFERROR(ROWSDUMMYFUNCTION(IF(A2597="","",IFERROR(IMAGE(CONCATENATE("https://us.pandora.net/on/demandware.static/-/Sites-pandora-master-catalog/default/dwbb259ca6/productimages/singlepackshot/",LEFT(A2597,FIND("-",A2597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597" s="5" t="str">
        <f ca="1">IFERROR(ROWSDUMMYFUNCTION(IF(A2597="","",CONCATENATE("https://us.pandora.net/on/demandware.static/-/Sites-pandora-master-catalog/default/dwbb259ca6/productimages/singlepackshot/",LEFT(A2597,FIND("-",A2597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598" spans="1:4" x14ac:dyDescent="0.25">
      <c r="A2598" s="3" t="s">
        <v>2600</v>
      </c>
      <c r="B2598" s="4">
        <v>69</v>
      </c>
      <c r="C2598" s="3" t="str">
        <f ca="1">IFERROR(ROWSDUMMYFUNCTION(IF(A2598="","",IFERROR(IMAGE(CONCATENATE("https://us.pandora.net/on/demandware.static/-/Sites-pandora-master-catalog/default/dwbb259ca6/productimages/singlepackshot/",LEFT(A2598,FIND("-",A2598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598" s="5" t="str">
        <f ca="1">IFERROR(ROWSDUMMYFUNCTION(IF(A2598="","",CONCATENATE("https://us.pandora.net/on/demandware.static/-/Sites-pandora-master-catalog/default/dwbb259ca6/productimages/singlepackshot/",LEFT(A2598,FIND("-",A2598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599" spans="1:4" x14ac:dyDescent="0.25">
      <c r="A2599" s="3" t="s">
        <v>2601</v>
      </c>
      <c r="B2599" s="4">
        <v>69</v>
      </c>
      <c r="C2599" s="3" t="str">
        <f ca="1">IFERROR(ROWSDUMMYFUNCTION(IF(A2599="","",IFERROR(IMAGE(CONCATENATE("https://us.pandora.net/on/demandware.static/-/Sites-pandora-master-catalog/default/dwbb259ca6/productimages/singlepackshot/",LEFT(A2599,FIND("-",A2599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599" s="5" t="str">
        <f ca="1">IFERROR(ROWSDUMMYFUNCTION(IF(A2599="","",CONCATENATE("https://us.pandora.net/on/demandware.static/-/Sites-pandora-master-catalog/default/dwbb259ca6/productimages/singlepackshot/",LEFT(A2599,FIND("-",A2599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600" spans="1:4" x14ac:dyDescent="0.25">
      <c r="A2600" s="3" t="s">
        <v>2602</v>
      </c>
      <c r="B2600" s="4">
        <v>69</v>
      </c>
      <c r="C2600" s="3" t="str">
        <f ca="1">IFERROR(ROWSDUMMYFUNCTION(IF(A2600="","",IFERROR(IMAGE(CONCATENATE("https://us.pandora.net/on/demandware.static/-/Sites-pandora-master-catalog/default/dwbb259ca6/productimages/singlepackshot/",LEFT(A2600,FIND("-",A2600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600" s="5" t="str">
        <f ca="1">IFERROR(ROWSDUMMYFUNCTION(IF(A2600="","",CONCATENATE("https://us.pandora.net/on/demandware.static/-/Sites-pandora-master-catalog/default/dwbb259ca6/productimages/singlepackshot/",LEFT(A2600,FIND("-",A2600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601" spans="1:4" x14ac:dyDescent="0.25">
      <c r="A2601" s="3" t="s">
        <v>2603</v>
      </c>
      <c r="B2601" s="4">
        <v>69</v>
      </c>
      <c r="C2601" s="3" t="str">
        <f ca="1">IFERROR(ROWSDUMMYFUNCTION(IF(A2601="","",IFERROR(IMAGE(CONCATENATE("https://us.pandora.net/on/demandware.static/-/Sites-pandora-master-catalog/default/dwbb259ca6/productimages/singlepackshot/",LEFT(A2601,FIND("-",A2601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601" s="5" t="str">
        <f ca="1">IFERROR(ROWSDUMMYFUNCTION(IF(A2601="","",CONCATENATE("https://us.pandora.net/on/demandware.static/-/Sites-pandora-master-catalog/default/dwbb259ca6/productimages/singlepackshot/",LEFT(A2601,FIND("-",A2601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602" spans="1:4" x14ac:dyDescent="0.25">
      <c r="A2602" s="3" t="s">
        <v>2604</v>
      </c>
      <c r="B2602" s="4">
        <v>69</v>
      </c>
      <c r="C2602" s="3" t="str">
        <f ca="1">IFERROR(ROWSDUMMYFUNCTION(IF(A2602="","",IFERROR(IMAGE(CONCATENATE("https://us.pandora.net/on/demandware.static/-/Sites-pandora-master-catalog/default/dwbb259ca6/productimages/singlepackshot/",LEFT(A2602,FIND("-",A2602&amp;"-")-1),"_RGB.png")),""))),"{""url"":""https://us.pandora.net/on/demandware.static/-/Sites-pandora-master-catalog/default/dwbb259ca6/productimages/singlepackshot/593681C00_RGB.png"",""mode"":1}")</f>
        <v>{"url":"https://us.pandora.net/on/demandware.static/-/Sites-pandora-master-catalog/default/dwbb259ca6/productimages/singlepackshot/593681C00_RGB.png","mode":1}</v>
      </c>
      <c r="D2602" s="5" t="str">
        <f ca="1">IFERROR(ROWSDUMMYFUNCTION(IF(A2602="","",CONCATENATE("https://us.pandora.net/on/demandware.static/-/Sites-pandora-master-catalog/default/dwbb259ca6/productimages/singlepackshot/",LEFT(A2602,FIND("-",A2602&amp;"-")-1),"_RGB.png"))),"https://us.pandora.net/on/demandware.static/-/Sites-pandora-master-catalog/default/dwbb259ca6/productimages/singlepackshot/593681C00_RGB.png")</f>
        <v>https://us.pandora.net/on/demandware.static/-/Sites-pandora-master-catalog/default/dwbb259ca6/productimages/singlepackshot/593681C00_RGB.png</v>
      </c>
    </row>
    <row r="2603" spans="1:4" x14ac:dyDescent="0.25">
      <c r="A2603" s="3" t="s">
        <v>2605</v>
      </c>
      <c r="B2603" s="4">
        <v>99</v>
      </c>
      <c r="C2603" s="3" t="str">
        <f ca="1">IFERROR(ROWSDUMMYFUNCTION(IF(A2603="","",IFERROR(IMAGE(CONCATENATE("https://us.pandora.net/on/demandware.static/-/Sites-pandora-master-catalog/default/dwbb259ca6/productimages/singlepackshot/",LEFT(A2603,FIND("-",A2603&amp;"-")-1),"_RGB.png")),""))),"{""url"":""https://us.pandora.net/on/demandware.static/-/Sites-pandora-master-catalog/default/dwbb259ca6/productimages/singlepackshot/593738C01_RGB.png"",""mode"":1}")</f>
        <v>{"url":"https://us.pandora.net/on/demandware.static/-/Sites-pandora-master-catalog/default/dwbb259ca6/productimages/singlepackshot/593738C01_RGB.png","mode":1}</v>
      </c>
      <c r="D2603" s="5" t="str">
        <f ca="1">IFERROR(ROWSDUMMYFUNCTION(IF(A2603="","",CONCATENATE("https://us.pandora.net/on/demandware.static/-/Sites-pandora-master-catalog/default/dwbb259ca6/productimages/singlepackshot/",LEFT(A2603,FIND("-",A2603&amp;"-")-1),"_RGB.png"))),"https://us.pandora.net/on/demandware.static/-/Sites-pandora-master-catalog/default/dwbb259ca6/productimages/singlepackshot/593738C01_RGB.png")</f>
        <v>https://us.pandora.net/on/demandware.static/-/Sites-pandora-master-catalog/default/dwbb259ca6/productimages/singlepackshot/593738C01_RGB.png</v>
      </c>
    </row>
    <row r="2604" spans="1:4" x14ac:dyDescent="0.25">
      <c r="A2604" s="3" t="s">
        <v>2606</v>
      </c>
      <c r="B2604" s="4">
        <v>99</v>
      </c>
      <c r="C2604" s="3" t="str">
        <f ca="1">IFERROR(ROWSDUMMYFUNCTION(IF(A2604="","",IFERROR(IMAGE(CONCATENATE("https://us.pandora.net/on/demandware.static/-/Sites-pandora-master-catalog/default/dwbb259ca6/productimages/singlepackshot/",LEFT(A2604,FIND("-",A2604&amp;"-")-1),"_RGB.png")),""))),"{""url"":""https://us.pandora.net/on/demandware.static/-/Sites-pandora-master-catalog/default/dwbb259ca6/productimages/singlepackshot/593738C01_RGB.png"",""mode"":1}")</f>
        <v>{"url":"https://us.pandora.net/on/demandware.static/-/Sites-pandora-master-catalog/default/dwbb259ca6/productimages/singlepackshot/593738C01_RGB.png","mode":1}</v>
      </c>
      <c r="D2604" s="5" t="str">
        <f ca="1">IFERROR(ROWSDUMMYFUNCTION(IF(A2604="","",CONCATENATE("https://us.pandora.net/on/demandware.static/-/Sites-pandora-master-catalog/default/dwbb259ca6/productimages/singlepackshot/",LEFT(A2604,FIND("-",A2604&amp;"-")-1),"_RGB.png"))),"https://us.pandora.net/on/demandware.static/-/Sites-pandora-master-catalog/default/dwbb259ca6/productimages/singlepackshot/593738C01_RGB.png")</f>
        <v>https://us.pandora.net/on/demandware.static/-/Sites-pandora-master-catalog/default/dwbb259ca6/productimages/singlepackshot/593738C01_RGB.png</v>
      </c>
    </row>
    <row r="2605" spans="1:4" x14ac:dyDescent="0.25">
      <c r="A2605" s="3" t="s">
        <v>2607</v>
      </c>
      <c r="B2605" s="4">
        <v>99</v>
      </c>
      <c r="C2605" s="3" t="str">
        <f ca="1">IFERROR(ROWSDUMMYFUNCTION(IF(A2605="","",IFERROR(IMAGE(CONCATENATE("https://us.pandora.net/on/demandware.static/-/Sites-pandora-master-catalog/default/dwbb259ca6/productimages/singlepackshot/",LEFT(A2605,FIND("-",A2605&amp;"-")-1),"_RGB.png")),""))),"{""url"":""https://us.pandora.net/on/demandware.static/-/Sites-pandora-master-catalog/default/dwbb259ca6/productimages/singlepackshot/593738C01_RGB.png"",""mode"":1}")</f>
        <v>{"url":"https://us.pandora.net/on/demandware.static/-/Sites-pandora-master-catalog/default/dwbb259ca6/productimages/singlepackshot/593738C01_RGB.png","mode":1}</v>
      </c>
      <c r="D2605" s="5" t="str">
        <f ca="1">IFERROR(ROWSDUMMYFUNCTION(IF(A2605="","",CONCATENATE("https://us.pandora.net/on/demandware.static/-/Sites-pandora-master-catalog/default/dwbb259ca6/productimages/singlepackshot/",LEFT(A2605,FIND("-",A2605&amp;"-")-1),"_RGB.png"))),"https://us.pandora.net/on/demandware.static/-/Sites-pandora-master-catalog/default/dwbb259ca6/productimages/singlepackshot/593738C01_RGB.png")</f>
        <v>https://us.pandora.net/on/demandware.static/-/Sites-pandora-master-catalog/default/dwbb259ca6/productimages/singlepackshot/593738C01_RGB.png</v>
      </c>
    </row>
    <row r="2606" spans="1:4" x14ac:dyDescent="0.25">
      <c r="A2606" s="3" t="s">
        <v>2608</v>
      </c>
      <c r="B2606" s="4">
        <v>99</v>
      </c>
      <c r="C2606" s="3" t="str">
        <f ca="1">IFERROR(ROWSDUMMYFUNCTION(IF(A2606="","",IFERROR(IMAGE(CONCATENATE("https://us.pandora.net/on/demandware.static/-/Sites-pandora-master-catalog/default/dwbb259ca6/productimages/singlepackshot/",LEFT(A2606,FIND("-",A2606&amp;"-")-1),"_RGB.png")),""))),"{""url"":""https://us.pandora.net/on/demandware.static/-/Sites-pandora-master-catalog/default/dwbb259ca6/productimages/singlepackshot/593738C01_RGB.png"",""mode"":1}")</f>
        <v>{"url":"https://us.pandora.net/on/demandware.static/-/Sites-pandora-master-catalog/default/dwbb259ca6/productimages/singlepackshot/593738C01_RGB.png","mode":1}</v>
      </c>
      <c r="D2606" s="5" t="str">
        <f ca="1">IFERROR(ROWSDUMMYFUNCTION(IF(A2606="","",CONCATENATE("https://us.pandora.net/on/demandware.static/-/Sites-pandora-master-catalog/default/dwbb259ca6/productimages/singlepackshot/",LEFT(A2606,FIND("-",A2606&amp;"-")-1),"_RGB.png"))),"https://us.pandora.net/on/demandware.static/-/Sites-pandora-master-catalog/default/dwbb259ca6/productimages/singlepackshot/593738C01_RGB.png")</f>
        <v>https://us.pandora.net/on/demandware.static/-/Sites-pandora-master-catalog/default/dwbb259ca6/productimages/singlepackshot/593738C01_RGB.png</v>
      </c>
    </row>
    <row r="2607" spans="1:4" x14ac:dyDescent="0.25">
      <c r="A2607" s="3" t="s">
        <v>2609</v>
      </c>
      <c r="B2607" s="4">
        <v>99</v>
      </c>
      <c r="C2607" s="3" t="str">
        <f ca="1">IFERROR(ROWSDUMMYFUNCTION(IF(A2607="","",IFERROR(IMAGE(CONCATENATE("https://us.pandora.net/on/demandware.static/-/Sites-pandora-master-catalog/default/dwbb259ca6/productimages/singlepackshot/",LEFT(A2607,FIND("-",A2607&amp;"-")-1),"_RGB.png")),""))),"{""url"":""https://us.pandora.net/on/demandware.static/-/Sites-pandora-master-catalog/default/dwbb259ca6/productimages/singlepackshot/593738C01_RGB.png"",""mode"":1}")</f>
        <v>{"url":"https://us.pandora.net/on/demandware.static/-/Sites-pandora-master-catalog/default/dwbb259ca6/productimages/singlepackshot/593738C01_RGB.png","mode":1}</v>
      </c>
      <c r="D2607" s="5" t="str">
        <f ca="1">IFERROR(ROWSDUMMYFUNCTION(IF(A2607="","",CONCATENATE("https://us.pandora.net/on/demandware.static/-/Sites-pandora-master-catalog/default/dwbb259ca6/productimages/singlepackshot/",LEFT(A2607,FIND("-",A2607&amp;"-")-1),"_RGB.png"))),"https://us.pandora.net/on/demandware.static/-/Sites-pandora-master-catalog/default/dwbb259ca6/productimages/singlepackshot/593738C01_RGB.png")</f>
        <v>https://us.pandora.net/on/demandware.static/-/Sites-pandora-master-catalog/default/dwbb259ca6/productimages/singlepackshot/593738C01_RGB.png</v>
      </c>
    </row>
    <row r="2608" spans="1:4" x14ac:dyDescent="0.25">
      <c r="A2608" s="3" t="s">
        <v>2610</v>
      </c>
      <c r="B2608" s="4">
        <v>69</v>
      </c>
      <c r="C2608" s="3" t="str">
        <f ca="1">IFERROR(ROWSDUMMYFUNCTION(IF(A2608="","",IFERROR(IMAGE(CONCATENATE("https://us.pandora.net/on/demandware.static/-/Sites-pandora-master-catalog/default/dwbb259ca6/productimages/singlepackshot/",LEFT(A2608,FIND("-",A2608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08" s="5" t="str">
        <f ca="1">IFERROR(ROWSDUMMYFUNCTION(IF(A2608="","",CONCATENATE("https://us.pandora.net/on/demandware.static/-/Sites-pandora-master-catalog/default/dwbb259ca6/productimages/singlepackshot/",LEFT(A2608,FIND("-",A2608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09" spans="1:4" x14ac:dyDescent="0.25">
      <c r="A2609" s="3" t="s">
        <v>2611</v>
      </c>
      <c r="B2609" s="4">
        <v>69</v>
      </c>
      <c r="C2609" s="3" t="str">
        <f ca="1">IFERROR(ROWSDUMMYFUNCTION(IF(A2609="","",IFERROR(IMAGE(CONCATENATE("https://us.pandora.net/on/demandware.static/-/Sites-pandora-master-catalog/default/dwbb259ca6/productimages/singlepackshot/",LEFT(A2609,FIND("-",A2609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09" s="5" t="str">
        <f ca="1">IFERROR(ROWSDUMMYFUNCTION(IF(A2609="","",CONCATENATE("https://us.pandora.net/on/demandware.static/-/Sites-pandora-master-catalog/default/dwbb259ca6/productimages/singlepackshot/",LEFT(A2609,FIND("-",A2609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10" spans="1:4" x14ac:dyDescent="0.25">
      <c r="A2610" s="3" t="s">
        <v>2612</v>
      </c>
      <c r="B2610" s="4">
        <v>69</v>
      </c>
      <c r="C2610" s="3" t="str">
        <f ca="1">IFERROR(ROWSDUMMYFUNCTION(IF(A2610="","",IFERROR(IMAGE(CONCATENATE("https://us.pandora.net/on/demandware.static/-/Sites-pandora-master-catalog/default/dwbb259ca6/productimages/singlepackshot/",LEFT(A2610,FIND("-",A2610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10" s="5" t="str">
        <f ca="1">IFERROR(ROWSDUMMYFUNCTION(IF(A2610="","",CONCATENATE("https://us.pandora.net/on/demandware.static/-/Sites-pandora-master-catalog/default/dwbb259ca6/productimages/singlepackshot/",LEFT(A2610,FIND("-",A2610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11" spans="1:4" x14ac:dyDescent="0.25">
      <c r="A2611" s="3" t="s">
        <v>2613</v>
      </c>
      <c r="B2611" s="4">
        <v>69</v>
      </c>
      <c r="C2611" s="3" t="str">
        <f ca="1">IFERROR(ROWSDUMMYFUNCTION(IF(A2611="","",IFERROR(IMAGE(CONCATENATE("https://us.pandora.net/on/demandware.static/-/Sites-pandora-master-catalog/default/dwbb259ca6/productimages/singlepackshot/",LEFT(A2611,FIND("-",A2611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11" s="5" t="str">
        <f ca="1">IFERROR(ROWSDUMMYFUNCTION(IF(A2611="","",CONCATENATE("https://us.pandora.net/on/demandware.static/-/Sites-pandora-master-catalog/default/dwbb259ca6/productimages/singlepackshot/",LEFT(A2611,FIND("-",A2611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12" spans="1:4" x14ac:dyDescent="0.25">
      <c r="A2612" s="3" t="s">
        <v>2614</v>
      </c>
      <c r="B2612" s="4">
        <v>69</v>
      </c>
      <c r="C2612" s="3" t="str">
        <f ca="1">IFERROR(ROWSDUMMYFUNCTION(IF(A2612="","",IFERROR(IMAGE(CONCATENATE("https://us.pandora.net/on/demandware.static/-/Sites-pandora-master-catalog/default/dwbb259ca6/productimages/singlepackshot/",LEFT(A2612,FIND("-",A2612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12" s="5" t="str">
        <f ca="1">IFERROR(ROWSDUMMYFUNCTION(IF(A2612="","",CONCATENATE("https://us.pandora.net/on/demandware.static/-/Sites-pandora-master-catalog/default/dwbb259ca6/productimages/singlepackshot/",LEFT(A2612,FIND("-",A2612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13" spans="1:4" x14ac:dyDescent="0.25">
      <c r="A2613" s="3" t="s">
        <v>2615</v>
      </c>
      <c r="B2613" s="4">
        <v>69</v>
      </c>
      <c r="C2613" s="3" t="str">
        <f ca="1">IFERROR(ROWSDUMMYFUNCTION(IF(A2613="","",IFERROR(IMAGE(CONCATENATE("https://us.pandora.net/on/demandware.static/-/Sites-pandora-master-catalog/default/dwbb259ca6/productimages/singlepackshot/",LEFT(A2613,FIND("-",A2613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13" s="5" t="str">
        <f ca="1">IFERROR(ROWSDUMMYFUNCTION(IF(A2613="","",CONCATENATE("https://us.pandora.net/on/demandware.static/-/Sites-pandora-master-catalog/default/dwbb259ca6/productimages/singlepackshot/",LEFT(A2613,FIND("-",A2613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14" spans="1:4" x14ac:dyDescent="0.25">
      <c r="A2614" s="3" t="s">
        <v>2616</v>
      </c>
      <c r="B2614" s="4">
        <v>69</v>
      </c>
      <c r="C2614" s="3" t="str">
        <f ca="1">IFERROR(ROWSDUMMYFUNCTION(IF(A2614="","",IFERROR(IMAGE(CONCATENATE("https://us.pandora.net/on/demandware.static/-/Sites-pandora-master-catalog/default/dwbb259ca6/productimages/singlepackshot/",LEFT(A2614,FIND("-",A2614&amp;"-")-1),"_RGB.png")),""))),"{""url"":""https://us.pandora.net/on/demandware.static/-/Sites-pandora-master-catalog/default/dwbb259ca6/productimages/singlepackshot/593757C00_RGB.png"",""mode"":1}")</f>
        <v>{"url":"https://us.pandora.net/on/demandware.static/-/Sites-pandora-master-catalog/default/dwbb259ca6/productimages/singlepackshot/593757C00_RGB.png","mode":1}</v>
      </c>
      <c r="D2614" s="5" t="str">
        <f ca="1">IFERROR(ROWSDUMMYFUNCTION(IF(A2614="","",CONCATENATE("https://us.pandora.net/on/demandware.static/-/Sites-pandora-master-catalog/default/dwbb259ca6/productimages/singlepackshot/",LEFT(A2614,FIND("-",A2614&amp;"-")-1),"_RGB.png"))),"https://us.pandora.net/on/demandware.static/-/Sites-pandora-master-catalog/default/dwbb259ca6/productimages/singlepackshot/593757C00_RGB.png")</f>
        <v>https://us.pandora.net/on/demandware.static/-/Sites-pandora-master-catalog/default/dwbb259ca6/productimages/singlepackshot/593757C00_RGB.png</v>
      </c>
    </row>
    <row r="2615" spans="1:4" x14ac:dyDescent="0.25">
      <c r="A2615" s="3" t="s">
        <v>2617</v>
      </c>
      <c r="B2615" s="4">
        <v>69</v>
      </c>
      <c r="C2615" s="3" t="str">
        <f ca="1">IFERROR(ROWSDUMMYFUNCTION(IF(A2615="","",IFERROR(IMAGE(CONCATENATE("https://us.pandora.net/on/demandware.static/-/Sites-pandora-master-catalog/default/dwbb259ca6/productimages/singlepackshot/",LEFT(A2615,FIND("-",A2615&amp;"-")-1),"_RGB.png")),""))),"{""url"":""https://us.pandora.net/on/demandware.static/-/Sites-pandora-master-catalog/default/dwbb259ca6/productimages/singlepackshot/593816C01_RGB.png"",""mode"":1}")</f>
        <v>{"url":"https://us.pandora.net/on/demandware.static/-/Sites-pandora-master-catalog/default/dwbb259ca6/productimages/singlepackshot/593816C01_RGB.png","mode":1}</v>
      </c>
      <c r="D2615" s="5" t="str">
        <f ca="1">IFERROR(ROWSDUMMYFUNCTION(IF(A2615="","",CONCATENATE("https://us.pandora.net/on/demandware.static/-/Sites-pandora-master-catalog/default/dwbb259ca6/productimages/singlepackshot/",LEFT(A2615,FIND("-",A2615&amp;"-")-1),"_RGB.png"))),"https://us.pandora.net/on/demandware.static/-/Sites-pandora-master-catalog/default/dwbb259ca6/productimages/singlepackshot/593816C01_RGB.png")</f>
        <v>https://us.pandora.net/on/demandware.static/-/Sites-pandora-master-catalog/default/dwbb259ca6/productimages/singlepackshot/593816C01_RGB.png</v>
      </c>
    </row>
    <row r="2616" spans="1:4" x14ac:dyDescent="0.25">
      <c r="A2616" s="3" t="s">
        <v>2618</v>
      </c>
      <c r="B2616" s="4">
        <v>69</v>
      </c>
      <c r="C2616" s="3" t="str">
        <f ca="1">IFERROR(ROWSDUMMYFUNCTION(IF(A2616="","",IFERROR(IMAGE(CONCATENATE("https://us.pandora.net/on/demandware.static/-/Sites-pandora-master-catalog/default/dwbb259ca6/productimages/singlepackshot/",LEFT(A2616,FIND("-",A2616&amp;"-")-1),"_RGB.png")),""))),"{""url"":""https://us.pandora.net/on/demandware.static/-/Sites-pandora-master-catalog/default/dwbb259ca6/productimages/singlepackshot/593816C01_RGB.png"",""mode"":1}")</f>
        <v>{"url":"https://us.pandora.net/on/demandware.static/-/Sites-pandora-master-catalog/default/dwbb259ca6/productimages/singlepackshot/593816C01_RGB.png","mode":1}</v>
      </c>
      <c r="D2616" s="5" t="str">
        <f ca="1">IFERROR(ROWSDUMMYFUNCTION(IF(A2616="","",CONCATENATE("https://us.pandora.net/on/demandware.static/-/Sites-pandora-master-catalog/default/dwbb259ca6/productimages/singlepackshot/",LEFT(A2616,FIND("-",A2616&amp;"-")-1),"_RGB.png"))),"https://us.pandora.net/on/demandware.static/-/Sites-pandora-master-catalog/default/dwbb259ca6/productimages/singlepackshot/593816C01_RGB.png")</f>
        <v>https://us.pandora.net/on/demandware.static/-/Sites-pandora-master-catalog/default/dwbb259ca6/productimages/singlepackshot/593816C01_RGB.png</v>
      </c>
    </row>
    <row r="2617" spans="1:4" x14ac:dyDescent="0.25">
      <c r="A2617" s="3" t="s">
        <v>2619</v>
      </c>
      <c r="B2617" s="4">
        <v>69</v>
      </c>
      <c r="C2617" s="3" t="str">
        <f ca="1">IFERROR(ROWSDUMMYFUNCTION(IF(A2617="","",IFERROR(IMAGE(CONCATENATE("https://us.pandora.net/on/demandware.static/-/Sites-pandora-master-catalog/default/dwbb259ca6/productimages/singlepackshot/",LEFT(A2617,FIND("-",A2617&amp;"-")-1),"_RGB.png")),""))),"{""url"":""https://us.pandora.net/on/demandware.static/-/Sites-pandora-master-catalog/default/dwbb259ca6/productimages/singlepackshot/593816C01_RGB.png"",""mode"":1}")</f>
        <v>{"url":"https://us.pandora.net/on/demandware.static/-/Sites-pandora-master-catalog/default/dwbb259ca6/productimages/singlepackshot/593816C01_RGB.png","mode":1}</v>
      </c>
      <c r="D2617" s="5" t="str">
        <f ca="1">IFERROR(ROWSDUMMYFUNCTION(IF(A2617="","",CONCATENATE("https://us.pandora.net/on/demandware.static/-/Sites-pandora-master-catalog/default/dwbb259ca6/productimages/singlepackshot/",LEFT(A2617,FIND("-",A2617&amp;"-")-1),"_RGB.png"))),"https://us.pandora.net/on/demandware.static/-/Sites-pandora-master-catalog/default/dwbb259ca6/productimages/singlepackshot/593816C01_RGB.png")</f>
        <v>https://us.pandora.net/on/demandware.static/-/Sites-pandora-master-catalog/default/dwbb259ca6/productimages/singlepackshot/593816C01_RGB.png</v>
      </c>
    </row>
    <row r="2618" spans="1:4" x14ac:dyDescent="0.25">
      <c r="A2618" s="3" t="s">
        <v>2620</v>
      </c>
      <c r="B2618" s="4">
        <v>69</v>
      </c>
      <c r="C2618" s="3" t="str">
        <f ca="1">IFERROR(ROWSDUMMYFUNCTION(IF(A2618="","",IFERROR(IMAGE(CONCATENATE("https://us.pandora.net/on/demandware.static/-/Sites-pandora-master-catalog/default/dwbb259ca6/productimages/singlepackshot/",LEFT(A2618,FIND("-",A2618&amp;"-")-1),"_RGB.png")),""))),"{""url"":""https://us.pandora.net/on/demandware.static/-/Sites-pandora-master-catalog/default/dwbb259ca6/productimages/singlepackshot/593816C01_RGB.png"",""mode"":1}")</f>
        <v>{"url":"https://us.pandora.net/on/demandware.static/-/Sites-pandora-master-catalog/default/dwbb259ca6/productimages/singlepackshot/593816C01_RGB.png","mode":1}</v>
      </c>
      <c r="D2618" s="5" t="str">
        <f ca="1">IFERROR(ROWSDUMMYFUNCTION(IF(A2618="","",CONCATENATE("https://us.pandora.net/on/demandware.static/-/Sites-pandora-master-catalog/default/dwbb259ca6/productimages/singlepackshot/",LEFT(A2618,FIND("-",A2618&amp;"-")-1),"_RGB.png"))),"https://us.pandora.net/on/demandware.static/-/Sites-pandora-master-catalog/default/dwbb259ca6/productimages/singlepackshot/593816C01_RGB.png")</f>
        <v>https://us.pandora.net/on/demandware.static/-/Sites-pandora-master-catalog/default/dwbb259ca6/productimages/singlepackshot/593816C01_RGB.png</v>
      </c>
    </row>
    <row r="2619" spans="1:4" x14ac:dyDescent="0.25">
      <c r="A2619" s="3" t="s">
        <v>2621</v>
      </c>
      <c r="B2619" s="4">
        <v>69</v>
      </c>
      <c r="C2619" s="3" t="str">
        <f ca="1">IFERROR(ROWSDUMMYFUNCTION(IF(A2619="","",IFERROR(IMAGE(CONCATENATE("https://us.pandora.net/on/demandware.static/-/Sites-pandora-master-catalog/default/dwbb259ca6/productimages/singlepackshot/",LEFT(A2619,FIND("-",A2619&amp;"-")-1),"_RGB.png")),""))),"{""url"":""https://us.pandora.net/on/demandware.static/-/Sites-pandora-master-catalog/default/dwbb259ca6/productimages/singlepackshot/593816C01_RGB.png"",""mode"":1}")</f>
        <v>{"url":"https://us.pandora.net/on/demandware.static/-/Sites-pandora-master-catalog/default/dwbb259ca6/productimages/singlepackshot/593816C01_RGB.png","mode":1}</v>
      </c>
      <c r="D2619" s="5" t="str">
        <f ca="1">IFERROR(ROWSDUMMYFUNCTION(IF(A2619="","",CONCATENATE("https://us.pandora.net/on/demandware.static/-/Sites-pandora-master-catalog/default/dwbb259ca6/productimages/singlepackshot/",LEFT(A2619,FIND("-",A2619&amp;"-")-1),"_RGB.png"))),"https://us.pandora.net/on/demandware.static/-/Sites-pandora-master-catalog/default/dwbb259ca6/productimages/singlepackshot/593816C01_RGB.png")</f>
        <v>https://us.pandora.net/on/demandware.static/-/Sites-pandora-master-catalog/default/dwbb259ca6/productimages/singlepackshot/593816C01_RGB.png</v>
      </c>
    </row>
    <row r="2620" spans="1:4" x14ac:dyDescent="0.25">
      <c r="A2620" s="3" t="s">
        <v>2622</v>
      </c>
      <c r="B2620" s="4">
        <v>69</v>
      </c>
      <c r="C2620" s="3" t="str">
        <f ca="1">IFERROR(ROWSDUMMYFUNCTION(IF(A2620="","",IFERROR(IMAGE(CONCATENATE("https://us.pandora.net/on/demandware.static/-/Sites-pandora-master-catalog/default/dwbb259ca6/productimages/singlepackshot/",LEFT(A2620,FIND("-",A2620&amp;"-")-1),"_RGB.png")),""))),"{""url"":""https://us.pandora.net/on/demandware.static/-/Sites-pandora-master-catalog/default/dwbb259ca6/productimages/singlepackshot/593853C00_RGB.png"",""mode"":1}")</f>
        <v>{"url":"https://us.pandora.net/on/demandware.static/-/Sites-pandora-master-catalog/default/dwbb259ca6/productimages/singlepackshot/593853C00_RGB.png","mode":1}</v>
      </c>
      <c r="D2620" s="5" t="str">
        <f ca="1">IFERROR(ROWSDUMMYFUNCTION(IF(A2620="","",CONCATENATE("https://us.pandora.net/on/demandware.static/-/Sites-pandora-master-catalog/default/dwbb259ca6/productimages/singlepackshot/",LEFT(A2620,FIND("-",A2620&amp;"-")-1),"_RGB.png"))),"https://us.pandora.net/on/demandware.static/-/Sites-pandora-master-catalog/default/dwbb259ca6/productimages/singlepackshot/593853C00_RGB.png")</f>
        <v>https://us.pandora.net/on/demandware.static/-/Sites-pandora-master-catalog/default/dwbb259ca6/productimages/singlepackshot/593853C00_RGB.png</v>
      </c>
    </row>
    <row r="2621" spans="1:4" x14ac:dyDescent="0.25">
      <c r="A2621" s="3" t="s">
        <v>2623</v>
      </c>
      <c r="B2621" s="4">
        <v>69</v>
      </c>
      <c r="C2621" s="3" t="str">
        <f ca="1">IFERROR(ROWSDUMMYFUNCTION(IF(A2621="","",IFERROR(IMAGE(CONCATENATE("https://us.pandora.net/on/demandware.static/-/Sites-pandora-master-catalog/default/dwbb259ca6/productimages/singlepackshot/",LEFT(A2621,FIND("-",A2621&amp;"-")-1),"_RGB.png")),""))),"{""url"":""https://us.pandora.net/on/demandware.static/-/Sites-pandora-master-catalog/default/dwbb259ca6/productimages/singlepackshot/593853C00_RGB.png"",""mode"":1}")</f>
        <v>{"url":"https://us.pandora.net/on/demandware.static/-/Sites-pandora-master-catalog/default/dwbb259ca6/productimages/singlepackshot/593853C00_RGB.png","mode":1}</v>
      </c>
      <c r="D2621" s="5" t="str">
        <f ca="1">IFERROR(ROWSDUMMYFUNCTION(IF(A2621="","",CONCATENATE("https://us.pandora.net/on/demandware.static/-/Sites-pandora-master-catalog/default/dwbb259ca6/productimages/singlepackshot/",LEFT(A2621,FIND("-",A2621&amp;"-")-1),"_RGB.png"))),"https://us.pandora.net/on/demandware.static/-/Sites-pandora-master-catalog/default/dwbb259ca6/productimages/singlepackshot/593853C00_RGB.png")</f>
        <v>https://us.pandora.net/on/demandware.static/-/Sites-pandora-master-catalog/default/dwbb259ca6/productimages/singlepackshot/593853C00_RGB.png</v>
      </c>
    </row>
    <row r="2622" spans="1:4" x14ac:dyDescent="0.25">
      <c r="A2622" s="3" t="s">
        <v>2624</v>
      </c>
      <c r="B2622" s="4">
        <v>69</v>
      </c>
      <c r="C2622" s="3" t="str">
        <f ca="1">IFERROR(ROWSDUMMYFUNCTION(IF(A2622="","",IFERROR(IMAGE(CONCATENATE("https://us.pandora.net/on/demandware.static/-/Sites-pandora-master-catalog/default/dwbb259ca6/productimages/singlepackshot/",LEFT(A2622,FIND("-",A2622&amp;"-")-1),"_RGB.png")),""))),"{""url"":""https://us.pandora.net/on/demandware.static/-/Sites-pandora-master-catalog/default/dwbb259ca6/productimages/singlepackshot/593853C00_RGB.png"",""mode"":1}")</f>
        <v>{"url":"https://us.pandora.net/on/demandware.static/-/Sites-pandora-master-catalog/default/dwbb259ca6/productimages/singlepackshot/593853C00_RGB.png","mode":1}</v>
      </c>
      <c r="D2622" s="5" t="str">
        <f ca="1">IFERROR(ROWSDUMMYFUNCTION(IF(A2622="","",CONCATENATE("https://us.pandora.net/on/demandware.static/-/Sites-pandora-master-catalog/default/dwbb259ca6/productimages/singlepackshot/",LEFT(A2622,FIND("-",A2622&amp;"-")-1),"_RGB.png"))),"https://us.pandora.net/on/demandware.static/-/Sites-pandora-master-catalog/default/dwbb259ca6/productimages/singlepackshot/593853C00_RGB.png")</f>
        <v>https://us.pandora.net/on/demandware.static/-/Sites-pandora-master-catalog/default/dwbb259ca6/productimages/singlepackshot/593853C00_RGB.png</v>
      </c>
    </row>
    <row r="2623" spans="1:4" x14ac:dyDescent="0.25">
      <c r="A2623" s="3" t="s">
        <v>2625</v>
      </c>
      <c r="B2623" s="4">
        <v>69</v>
      </c>
      <c r="C2623" s="3" t="str">
        <f ca="1">IFERROR(ROWSDUMMYFUNCTION(IF(A2623="","",IFERROR(IMAGE(CONCATENATE("https://us.pandora.net/on/demandware.static/-/Sites-pandora-master-catalog/default/dwbb259ca6/productimages/singlepackshot/",LEFT(A2623,FIND("-",A2623&amp;"-")-1),"_RGB.png")),""))),"{""url"":""https://us.pandora.net/on/demandware.static/-/Sites-pandora-master-catalog/default/dwbb259ca6/productimages/singlepackshot/593853C00_RGB.png"",""mode"":1}")</f>
        <v>{"url":"https://us.pandora.net/on/demandware.static/-/Sites-pandora-master-catalog/default/dwbb259ca6/productimages/singlepackshot/593853C00_RGB.png","mode":1}</v>
      </c>
      <c r="D2623" s="5" t="str">
        <f ca="1">IFERROR(ROWSDUMMYFUNCTION(IF(A2623="","",CONCATENATE("https://us.pandora.net/on/demandware.static/-/Sites-pandora-master-catalog/default/dwbb259ca6/productimages/singlepackshot/",LEFT(A2623,FIND("-",A2623&amp;"-")-1),"_RGB.png"))),"https://us.pandora.net/on/demandware.static/-/Sites-pandora-master-catalog/default/dwbb259ca6/productimages/singlepackshot/593853C00_RGB.png")</f>
        <v>https://us.pandora.net/on/demandware.static/-/Sites-pandora-master-catalog/default/dwbb259ca6/productimages/singlepackshot/593853C00_RGB.png</v>
      </c>
    </row>
    <row r="2624" spans="1:4" x14ac:dyDescent="0.25">
      <c r="A2624" s="3" t="s">
        <v>2626</v>
      </c>
      <c r="B2624" s="4">
        <v>69</v>
      </c>
      <c r="C2624" s="3" t="str">
        <f ca="1">IFERROR(ROWSDUMMYFUNCTION(IF(A2624="","",IFERROR(IMAGE(CONCATENATE("https://us.pandora.net/on/demandware.static/-/Sites-pandora-master-catalog/default/dwbb259ca6/productimages/singlepackshot/",LEFT(A2624,FIND("-",A2624&amp;"-")-1),"_RGB.png")),""))),"{""url"":""https://us.pandora.net/on/demandware.static/-/Sites-pandora-master-catalog/default/dwbb259ca6/productimages/singlepackshot/593853C00_RGB.png"",""mode"":1}")</f>
        <v>{"url":"https://us.pandora.net/on/demandware.static/-/Sites-pandora-master-catalog/default/dwbb259ca6/productimages/singlepackshot/593853C00_RGB.png","mode":1}</v>
      </c>
      <c r="D2624" s="5" t="str">
        <f ca="1">IFERROR(ROWSDUMMYFUNCTION(IF(A2624="","",CONCATENATE("https://us.pandora.net/on/demandware.static/-/Sites-pandora-master-catalog/default/dwbb259ca6/productimages/singlepackshot/",LEFT(A2624,FIND("-",A2624&amp;"-")-1),"_RGB.png"))),"https://us.pandora.net/on/demandware.static/-/Sites-pandora-master-catalog/default/dwbb259ca6/productimages/singlepackshot/593853C00_RGB.png")</f>
        <v>https://us.pandora.net/on/demandware.static/-/Sites-pandora-master-catalog/default/dwbb259ca6/productimages/singlepackshot/593853C00_RGB.png</v>
      </c>
    </row>
    <row r="2625" spans="1:4" x14ac:dyDescent="0.25">
      <c r="A2625" s="3" t="s">
        <v>2627</v>
      </c>
      <c r="B2625" s="4">
        <v>69</v>
      </c>
      <c r="C2625" s="3" t="str">
        <f ca="1">IFERROR(ROWSDUMMYFUNCTION(IF(A2625="","",IFERROR(IMAGE(CONCATENATE("https://us.pandora.net/on/demandware.static/-/Sites-pandora-master-catalog/default/dwbb259ca6/productimages/singlepackshot/",LEFT(A2625,FIND("-",A2625&amp;"-")-1),"_RGB.png")),""))),"{""url"":""https://us.pandora.net/on/demandware.static/-/Sites-pandora-master-catalog/default/dwbb259ca6/productimages/singlepackshot/593853C00_RGB.png"",""mode"":1}")</f>
        <v>{"url":"https://us.pandora.net/on/demandware.static/-/Sites-pandora-master-catalog/default/dwbb259ca6/productimages/singlepackshot/593853C00_RGB.png","mode":1}</v>
      </c>
      <c r="D2625" s="5" t="str">
        <f ca="1">IFERROR(ROWSDUMMYFUNCTION(IF(A2625="","",CONCATENATE("https://us.pandora.net/on/demandware.static/-/Sites-pandora-master-catalog/default/dwbb259ca6/productimages/singlepackshot/",LEFT(A2625,FIND("-",A2625&amp;"-")-1),"_RGB.png"))),"https://us.pandora.net/on/demandware.static/-/Sites-pandora-master-catalog/default/dwbb259ca6/productimages/singlepackshot/593853C00_RGB.png")</f>
        <v>https://us.pandora.net/on/demandware.static/-/Sites-pandora-master-catalog/default/dwbb259ca6/productimages/singlepackshot/593853C00_RGB.png</v>
      </c>
    </row>
    <row r="2626" spans="1:4" x14ac:dyDescent="0.25">
      <c r="A2626" s="3" t="s">
        <v>2628</v>
      </c>
      <c r="B2626" s="4">
        <v>99</v>
      </c>
      <c r="C2626" s="3" t="str">
        <f ca="1">IFERROR(ROWSDUMMYFUNCTION(IF(A2626="","",IFERROR(IMAGE(CONCATENATE("https://us.pandora.net/on/demandware.static/-/Sites-pandora-master-catalog/default/dwbb259ca6/productimages/singlepackshot/",LEFT(A2626,FIND("-",A2626&amp;"-")-1),"_RGB.png")),""))),"{""url"":""https://us.pandora.net/on/demandware.static/-/Sites-pandora-master-catalog/default/dwbb259ca6/productimages/singlepackshot/593854C00_RGB.png"",""mode"":1}")</f>
        <v>{"url":"https://us.pandora.net/on/demandware.static/-/Sites-pandora-master-catalog/default/dwbb259ca6/productimages/singlepackshot/593854C00_RGB.png","mode":1}</v>
      </c>
      <c r="D2626" s="5" t="str">
        <f ca="1">IFERROR(ROWSDUMMYFUNCTION(IF(A2626="","",CONCATENATE("https://us.pandora.net/on/demandware.static/-/Sites-pandora-master-catalog/default/dwbb259ca6/productimages/singlepackshot/",LEFT(A2626,FIND("-",A2626&amp;"-")-1),"_RGB.png"))),"https://us.pandora.net/on/demandware.static/-/Sites-pandora-master-catalog/default/dwbb259ca6/productimages/singlepackshot/593854C00_RGB.png")</f>
        <v>https://us.pandora.net/on/demandware.static/-/Sites-pandora-master-catalog/default/dwbb259ca6/productimages/singlepackshot/593854C00_RGB.png</v>
      </c>
    </row>
    <row r="2627" spans="1:4" x14ac:dyDescent="0.25">
      <c r="A2627" s="3" t="s">
        <v>2629</v>
      </c>
      <c r="B2627" s="4">
        <v>99</v>
      </c>
      <c r="C2627" s="3" t="str">
        <f ca="1">IFERROR(ROWSDUMMYFUNCTION(IF(A2627="","",IFERROR(IMAGE(CONCATENATE("https://us.pandora.net/on/demandware.static/-/Sites-pandora-master-catalog/default/dwbb259ca6/productimages/singlepackshot/",LEFT(A2627,FIND("-",A2627&amp;"-")-1),"_RGB.png")),""))),"{""url"":""https://us.pandora.net/on/demandware.static/-/Sites-pandora-master-catalog/default/dwbb259ca6/productimages/singlepackshot/593854C00_RGB.png"",""mode"":1}")</f>
        <v>{"url":"https://us.pandora.net/on/demandware.static/-/Sites-pandora-master-catalog/default/dwbb259ca6/productimages/singlepackshot/593854C00_RGB.png","mode":1}</v>
      </c>
      <c r="D2627" s="5" t="str">
        <f ca="1">IFERROR(ROWSDUMMYFUNCTION(IF(A2627="","",CONCATENATE("https://us.pandora.net/on/demandware.static/-/Sites-pandora-master-catalog/default/dwbb259ca6/productimages/singlepackshot/",LEFT(A2627,FIND("-",A2627&amp;"-")-1),"_RGB.png"))),"https://us.pandora.net/on/demandware.static/-/Sites-pandora-master-catalog/default/dwbb259ca6/productimages/singlepackshot/593854C00_RGB.png")</f>
        <v>https://us.pandora.net/on/demandware.static/-/Sites-pandora-master-catalog/default/dwbb259ca6/productimages/singlepackshot/593854C00_RGB.png</v>
      </c>
    </row>
    <row r="2628" spans="1:4" x14ac:dyDescent="0.25">
      <c r="A2628" s="3" t="s">
        <v>2630</v>
      </c>
      <c r="B2628" s="4">
        <v>99</v>
      </c>
      <c r="C2628" s="3" t="str">
        <f ca="1">IFERROR(ROWSDUMMYFUNCTION(IF(A2628="","",IFERROR(IMAGE(CONCATENATE("https://us.pandora.net/on/demandware.static/-/Sites-pandora-master-catalog/default/dwbb259ca6/productimages/singlepackshot/",LEFT(A2628,FIND("-",A2628&amp;"-")-1),"_RGB.png")),""))),"{""url"":""https://us.pandora.net/on/demandware.static/-/Sites-pandora-master-catalog/default/dwbb259ca6/productimages/singlepackshot/593854C00_RGB.png"",""mode"":1}")</f>
        <v>{"url":"https://us.pandora.net/on/demandware.static/-/Sites-pandora-master-catalog/default/dwbb259ca6/productimages/singlepackshot/593854C00_RGB.png","mode":1}</v>
      </c>
      <c r="D2628" s="5" t="str">
        <f ca="1">IFERROR(ROWSDUMMYFUNCTION(IF(A2628="","",CONCATENATE("https://us.pandora.net/on/demandware.static/-/Sites-pandora-master-catalog/default/dwbb259ca6/productimages/singlepackshot/",LEFT(A2628,FIND("-",A2628&amp;"-")-1),"_RGB.png"))),"https://us.pandora.net/on/demandware.static/-/Sites-pandora-master-catalog/default/dwbb259ca6/productimages/singlepackshot/593854C00_RGB.png")</f>
        <v>https://us.pandora.net/on/demandware.static/-/Sites-pandora-master-catalog/default/dwbb259ca6/productimages/singlepackshot/593854C00_RGB.png</v>
      </c>
    </row>
    <row r="2629" spans="1:4" x14ac:dyDescent="0.25">
      <c r="A2629" s="3" t="s">
        <v>2631</v>
      </c>
      <c r="B2629" s="4">
        <v>99</v>
      </c>
      <c r="C2629" s="3" t="str">
        <f ca="1">IFERROR(ROWSDUMMYFUNCTION(IF(A2629="","",IFERROR(IMAGE(CONCATENATE("https://us.pandora.net/on/demandware.static/-/Sites-pandora-master-catalog/default/dwbb259ca6/productimages/singlepackshot/",LEFT(A2629,FIND("-",A2629&amp;"-")-1),"_RGB.png")),""))),"{""url"":""https://us.pandora.net/on/demandware.static/-/Sites-pandora-master-catalog/default/dwbb259ca6/productimages/singlepackshot/593854C00_RGB.png"",""mode"":1}")</f>
        <v>{"url":"https://us.pandora.net/on/demandware.static/-/Sites-pandora-master-catalog/default/dwbb259ca6/productimages/singlepackshot/593854C00_RGB.png","mode":1}</v>
      </c>
      <c r="D2629" s="5" t="str">
        <f ca="1">IFERROR(ROWSDUMMYFUNCTION(IF(A2629="","",CONCATENATE("https://us.pandora.net/on/demandware.static/-/Sites-pandora-master-catalog/default/dwbb259ca6/productimages/singlepackshot/",LEFT(A2629,FIND("-",A2629&amp;"-")-1),"_RGB.png"))),"https://us.pandora.net/on/demandware.static/-/Sites-pandora-master-catalog/default/dwbb259ca6/productimages/singlepackshot/593854C00_RGB.png")</f>
        <v>https://us.pandora.net/on/demandware.static/-/Sites-pandora-master-catalog/default/dwbb259ca6/productimages/singlepackshot/593854C00_RGB.png</v>
      </c>
    </row>
    <row r="2630" spans="1:4" x14ac:dyDescent="0.25">
      <c r="A2630" s="3" t="s">
        <v>2632</v>
      </c>
      <c r="B2630" s="4">
        <v>99</v>
      </c>
      <c r="C2630" s="3" t="str">
        <f ca="1">IFERROR(ROWSDUMMYFUNCTION(IF(A2630="","",IFERROR(IMAGE(CONCATENATE("https://us.pandora.net/on/demandware.static/-/Sites-pandora-master-catalog/default/dwbb259ca6/productimages/singlepackshot/",LEFT(A2630,FIND("-",A2630&amp;"-")-1),"_RGB.png")),""))),"{""url"":""https://us.pandora.net/on/demandware.static/-/Sites-pandora-master-catalog/default/dwbb259ca6/productimages/singlepackshot/593854C00_RGB.png"",""mode"":1}")</f>
        <v>{"url":"https://us.pandora.net/on/demandware.static/-/Sites-pandora-master-catalog/default/dwbb259ca6/productimages/singlepackshot/593854C00_RGB.png","mode":1}</v>
      </c>
      <c r="D2630" s="5" t="str">
        <f ca="1">IFERROR(ROWSDUMMYFUNCTION(IF(A2630="","",CONCATENATE("https://us.pandora.net/on/demandware.static/-/Sites-pandora-master-catalog/default/dwbb259ca6/productimages/singlepackshot/",LEFT(A2630,FIND("-",A2630&amp;"-")-1),"_RGB.png"))),"https://us.pandora.net/on/demandware.static/-/Sites-pandora-master-catalog/default/dwbb259ca6/productimages/singlepackshot/593854C00_RGB.png")</f>
        <v>https://us.pandora.net/on/demandware.static/-/Sites-pandora-master-catalog/default/dwbb259ca6/productimages/singlepackshot/593854C00_RGB.png</v>
      </c>
    </row>
    <row r="2631" spans="1:4" x14ac:dyDescent="0.25">
      <c r="A2631" s="3" t="s">
        <v>2633</v>
      </c>
      <c r="B2631" s="4">
        <v>79</v>
      </c>
      <c r="C2631" s="3" t="str">
        <f ca="1">IFERROR(ROWSDUMMYFUNCTION(IF(A2631="","",IFERROR(IMAGE(CONCATENATE("https://us.pandora.net/on/demandware.static/-/Sites-pandora-master-catalog/default/dwbb259ca6/productimages/singlepackshot/",LEFT(A2631,FIND("-",A2631&amp;"-")-1),"_RGB.png")),""))),"{""url"":""https://us.pandora.net/on/demandware.static/-/Sites-pandora-master-catalog/default/dwbb259ca6/productimages/singlepackshot/593927C01_RGB.png"",""mode"":1}")</f>
        <v>{"url":"https://us.pandora.net/on/demandware.static/-/Sites-pandora-master-catalog/default/dwbb259ca6/productimages/singlepackshot/593927C01_RGB.png","mode":1}</v>
      </c>
      <c r="D2631" s="5" t="str">
        <f ca="1">IFERROR(ROWSDUMMYFUNCTION(IF(A2631="","",CONCATENATE("https://us.pandora.net/on/demandware.static/-/Sites-pandora-master-catalog/default/dwbb259ca6/productimages/singlepackshot/",LEFT(A2631,FIND("-",A2631&amp;"-")-1),"_RGB.png"))),"https://us.pandora.net/on/demandware.static/-/Sites-pandora-master-catalog/default/dwbb259ca6/productimages/singlepackshot/593927C01_RGB.png")</f>
        <v>https://us.pandora.net/on/demandware.static/-/Sites-pandora-master-catalog/default/dwbb259ca6/productimages/singlepackshot/593927C01_RGB.png</v>
      </c>
    </row>
    <row r="2632" spans="1:4" x14ac:dyDescent="0.25">
      <c r="A2632" s="3" t="s">
        <v>2634</v>
      </c>
      <c r="B2632" s="4">
        <v>79</v>
      </c>
      <c r="C2632" s="3" t="str">
        <f ca="1">IFERROR(ROWSDUMMYFUNCTION(IF(A2632="","",IFERROR(IMAGE(CONCATENATE("https://us.pandora.net/on/demandware.static/-/Sites-pandora-master-catalog/default/dwbb259ca6/productimages/singlepackshot/",LEFT(A2632,FIND("-",A2632&amp;"-")-1),"_RGB.png")),""))),"{""url"":""https://us.pandora.net/on/demandware.static/-/Sites-pandora-master-catalog/default/dwbb259ca6/productimages/singlepackshot/593927C01_RGB.png"",""mode"":1}")</f>
        <v>{"url":"https://us.pandora.net/on/demandware.static/-/Sites-pandora-master-catalog/default/dwbb259ca6/productimages/singlepackshot/593927C01_RGB.png","mode":1}</v>
      </c>
      <c r="D2632" s="5" t="str">
        <f ca="1">IFERROR(ROWSDUMMYFUNCTION(IF(A2632="","",CONCATENATE("https://us.pandora.net/on/demandware.static/-/Sites-pandora-master-catalog/default/dwbb259ca6/productimages/singlepackshot/",LEFT(A2632,FIND("-",A2632&amp;"-")-1),"_RGB.png"))),"https://us.pandora.net/on/demandware.static/-/Sites-pandora-master-catalog/default/dwbb259ca6/productimages/singlepackshot/593927C01_RGB.png")</f>
        <v>https://us.pandora.net/on/demandware.static/-/Sites-pandora-master-catalog/default/dwbb259ca6/productimages/singlepackshot/593927C01_RGB.png</v>
      </c>
    </row>
    <row r="2633" spans="1:4" x14ac:dyDescent="0.25">
      <c r="A2633" s="3" t="s">
        <v>2635</v>
      </c>
      <c r="B2633" s="4">
        <v>79</v>
      </c>
      <c r="C2633" s="3" t="str">
        <f ca="1">IFERROR(ROWSDUMMYFUNCTION(IF(A2633="","",IFERROR(IMAGE(CONCATENATE("https://us.pandora.net/on/demandware.static/-/Sites-pandora-master-catalog/default/dwbb259ca6/productimages/singlepackshot/",LEFT(A2633,FIND("-",A2633&amp;"-")-1),"_RGB.png")),""))),"{""url"":""https://us.pandora.net/on/demandware.static/-/Sites-pandora-master-catalog/default/dwbb259ca6/productimages/singlepackshot/593927C01_RGB.png"",""mode"":1}")</f>
        <v>{"url":"https://us.pandora.net/on/demandware.static/-/Sites-pandora-master-catalog/default/dwbb259ca6/productimages/singlepackshot/593927C01_RGB.png","mode":1}</v>
      </c>
      <c r="D2633" s="5" t="str">
        <f ca="1">IFERROR(ROWSDUMMYFUNCTION(IF(A2633="","",CONCATENATE("https://us.pandora.net/on/demandware.static/-/Sites-pandora-master-catalog/default/dwbb259ca6/productimages/singlepackshot/",LEFT(A2633,FIND("-",A2633&amp;"-")-1),"_RGB.png"))),"https://us.pandora.net/on/demandware.static/-/Sites-pandora-master-catalog/default/dwbb259ca6/productimages/singlepackshot/593927C01_RGB.png")</f>
        <v>https://us.pandora.net/on/demandware.static/-/Sites-pandora-master-catalog/default/dwbb259ca6/productimages/singlepackshot/593927C01_RGB.png</v>
      </c>
    </row>
    <row r="2634" spans="1:4" x14ac:dyDescent="0.25">
      <c r="A2634" s="3" t="s">
        <v>2636</v>
      </c>
      <c r="B2634" s="4">
        <v>69</v>
      </c>
      <c r="C2634" s="3" t="str">
        <f ca="1">IFERROR(ROWSDUMMYFUNCTION(IF(A2634="","",IFERROR(IMAGE(CONCATENATE("https://us.pandora.net/on/demandware.static/-/Sites-pandora-master-catalog/default/dwbb259ca6/productimages/singlepackshot/",LEFT(A2634,FIND("-",A2634&amp;"-")-1),"_RGB.png")),""))),"{""url"":""https://us.pandora.net/on/demandware.static/-/Sites-pandora-master-catalog/default/dwbb259ca6/productimages/singlepackshot/594010C01_RGB.png"",""mode"":1}")</f>
        <v>{"url":"https://us.pandora.net/on/demandware.static/-/Sites-pandora-master-catalog/default/dwbb259ca6/productimages/singlepackshot/594010C01_RGB.png","mode":1}</v>
      </c>
      <c r="D2634" s="5" t="str">
        <f ca="1">IFERROR(ROWSDUMMYFUNCTION(IF(A2634="","",CONCATENATE("https://us.pandora.net/on/demandware.static/-/Sites-pandora-master-catalog/default/dwbb259ca6/productimages/singlepackshot/",LEFT(A2634,FIND("-",A2634&amp;"-")-1),"_RGB.png"))),"https://us.pandora.net/on/demandware.static/-/Sites-pandora-master-catalog/default/dwbb259ca6/productimages/singlepackshot/594010C01_RGB.png")</f>
        <v>https://us.pandora.net/on/demandware.static/-/Sites-pandora-master-catalog/default/dwbb259ca6/productimages/singlepackshot/594010C01_RGB.png</v>
      </c>
    </row>
    <row r="2635" spans="1:4" x14ac:dyDescent="0.25">
      <c r="A2635" s="3" t="s">
        <v>2637</v>
      </c>
      <c r="B2635" s="4">
        <v>69</v>
      </c>
      <c r="C2635" s="3" t="str">
        <f ca="1">IFERROR(ROWSDUMMYFUNCTION(IF(A2635="","",IFERROR(IMAGE(CONCATENATE("https://us.pandora.net/on/demandware.static/-/Sites-pandora-master-catalog/default/dwbb259ca6/productimages/singlepackshot/",LEFT(A2635,FIND("-",A2635&amp;"-")-1),"_RGB.png")),""))),"{""url"":""https://us.pandora.net/on/demandware.static/-/Sites-pandora-master-catalog/default/dwbb259ca6/productimages/singlepackshot/594010C01_RGB.png"",""mode"":1}")</f>
        <v>{"url":"https://us.pandora.net/on/demandware.static/-/Sites-pandora-master-catalog/default/dwbb259ca6/productimages/singlepackshot/594010C01_RGB.png","mode":1}</v>
      </c>
      <c r="D2635" s="5" t="str">
        <f ca="1">IFERROR(ROWSDUMMYFUNCTION(IF(A2635="","",CONCATENATE("https://us.pandora.net/on/demandware.static/-/Sites-pandora-master-catalog/default/dwbb259ca6/productimages/singlepackshot/",LEFT(A2635,FIND("-",A2635&amp;"-")-1),"_RGB.png"))),"https://us.pandora.net/on/demandware.static/-/Sites-pandora-master-catalog/default/dwbb259ca6/productimages/singlepackshot/594010C01_RGB.png")</f>
        <v>https://us.pandora.net/on/demandware.static/-/Sites-pandora-master-catalog/default/dwbb259ca6/productimages/singlepackshot/594010C01_RGB.png</v>
      </c>
    </row>
    <row r="2636" spans="1:4" x14ac:dyDescent="0.25">
      <c r="A2636" s="3" t="s">
        <v>2638</v>
      </c>
      <c r="B2636" s="4">
        <v>69</v>
      </c>
      <c r="C2636" s="3" t="str">
        <f ca="1">IFERROR(ROWSDUMMYFUNCTION(IF(A2636="","",IFERROR(IMAGE(CONCATENATE("https://us.pandora.net/on/demandware.static/-/Sites-pandora-master-catalog/default/dwbb259ca6/productimages/singlepackshot/",LEFT(A2636,FIND("-",A2636&amp;"-")-1),"_RGB.png")),""))),"{""url"":""https://us.pandora.net/on/demandware.static/-/Sites-pandora-master-catalog/default/dwbb259ca6/productimages/singlepackshot/594010C01_RGB.png"",""mode"":1}")</f>
        <v>{"url":"https://us.pandora.net/on/demandware.static/-/Sites-pandora-master-catalog/default/dwbb259ca6/productimages/singlepackshot/594010C01_RGB.png","mode":1}</v>
      </c>
      <c r="D2636" s="5" t="str">
        <f ca="1">IFERROR(ROWSDUMMYFUNCTION(IF(A2636="","",CONCATENATE("https://us.pandora.net/on/demandware.static/-/Sites-pandora-master-catalog/default/dwbb259ca6/productimages/singlepackshot/",LEFT(A2636,FIND("-",A2636&amp;"-")-1),"_RGB.png"))),"https://us.pandora.net/on/demandware.static/-/Sites-pandora-master-catalog/default/dwbb259ca6/productimages/singlepackshot/594010C01_RGB.png")</f>
        <v>https://us.pandora.net/on/demandware.static/-/Sites-pandora-master-catalog/default/dwbb259ca6/productimages/singlepackshot/594010C01_RGB.png</v>
      </c>
    </row>
    <row r="2637" spans="1:4" x14ac:dyDescent="0.25">
      <c r="A2637" s="3" t="s">
        <v>2639</v>
      </c>
      <c r="B2637" s="4">
        <v>69</v>
      </c>
      <c r="C2637" s="3" t="str">
        <f ca="1">IFERROR(ROWSDUMMYFUNCTION(IF(A2637="","",IFERROR(IMAGE(CONCATENATE("https://us.pandora.net/on/demandware.static/-/Sites-pandora-master-catalog/default/dwbb259ca6/productimages/singlepackshot/",LEFT(A2637,FIND("-",A2637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37" s="5" t="str">
        <f ca="1">IFERROR(ROWSDUMMYFUNCTION(IF(A2637="","",CONCATENATE("https://us.pandora.net/on/demandware.static/-/Sites-pandora-master-catalog/default/dwbb259ca6/productimages/singlepackshot/",LEFT(A2637,FIND("-",A2637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38" spans="1:4" x14ac:dyDescent="0.25">
      <c r="A2638" s="3" t="s">
        <v>2640</v>
      </c>
      <c r="B2638" s="4">
        <v>69</v>
      </c>
      <c r="C2638" s="3" t="str">
        <f ca="1">IFERROR(ROWSDUMMYFUNCTION(IF(A2638="","",IFERROR(IMAGE(CONCATENATE("https://us.pandora.net/on/demandware.static/-/Sites-pandora-master-catalog/default/dwbb259ca6/productimages/singlepackshot/",LEFT(A2638,FIND("-",A2638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38" s="5" t="str">
        <f ca="1">IFERROR(ROWSDUMMYFUNCTION(IF(A2638="","",CONCATENATE("https://us.pandora.net/on/demandware.static/-/Sites-pandora-master-catalog/default/dwbb259ca6/productimages/singlepackshot/",LEFT(A2638,FIND("-",A2638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39" spans="1:4" x14ac:dyDescent="0.25">
      <c r="A2639" s="3" t="s">
        <v>2641</v>
      </c>
      <c r="B2639" s="4">
        <v>69</v>
      </c>
      <c r="C2639" s="3" t="str">
        <f ca="1">IFERROR(ROWSDUMMYFUNCTION(IF(A2639="","",IFERROR(IMAGE(CONCATENATE("https://us.pandora.net/on/demandware.static/-/Sites-pandora-master-catalog/default/dwbb259ca6/productimages/singlepackshot/",LEFT(A2639,FIND("-",A2639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39" s="5" t="str">
        <f ca="1">IFERROR(ROWSDUMMYFUNCTION(IF(A2639="","",CONCATENATE("https://us.pandora.net/on/demandware.static/-/Sites-pandora-master-catalog/default/dwbb259ca6/productimages/singlepackshot/",LEFT(A2639,FIND("-",A2639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40" spans="1:4" x14ac:dyDescent="0.25">
      <c r="A2640" s="3" t="s">
        <v>2642</v>
      </c>
      <c r="B2640" s="4">
        <v>69</v>
      </c>
      <c r="C2640" s="3" t="str">
        <f ca="1">IFERROR(ROWSDUMMYFUNCTION(IF(A2640="","",IFERROR(IMAGE(CONCATENATE("https://us.pandora.net/on/demandware.static/-/Sites-pandora-master-catalog/default/dwbb259ca6/productimages/singlepackshot/",LEFT(A2640,FIND("-",A2640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40" s="5" t="str">
        <f ca="1">IFERROR(ROWSDUMMYFUNCTION(IF(A2640="","",CONCATENATE("https://us.pandora.net/on/demandware.static/-/Sites-pandora-master-catalog/default/dwbb259ca6/productimages/singlepackshot/",LEFT(A2640,FIND("-",A2640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41" spans="1:4" x14ac:dyDescent="0.25">
      <c r="A2641" s="3" t="s">
        <v>2643</v>
      </c>
      <c r="B2641" s="4">
        <v>69</v>
      </c>
      <c r="C2641" s="3" t="str">
        <f ca="1">IFERROR(ROWSDUMMYFUNCTION(IF(A2641="","",IFERROR(IMAGE(CONCATENATE("https://us.pandora.net/on/demandware.static/-/Sites-pandora-master-catalog/default/dwbb259ca6/productimages/singlepackshot/",LEFT(A2641,FIND("-",A2641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41" s="5" t="str">
        <f ca="1">IFERROR(ROWSDUMMYFUNCTION(IF(A2641="","",CONCATENATE("https://us.pandora.net/on/demandware.static/-/Sites-pandora-master-catalog/default/dwbb259ca6/productimages/singlepackshot/",LEFT(A2641,FIND("-",A2641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42" spans="1:4" x14ac:dyDescent="0.25">
      <c r="A2642" s="3" t="s">
        <v>2644</v>
      </c>
      <c r="B2642" s="4">
        <v>69</v>
      </c>
      <c r="C2642" s="3" t="str">
        <f ca="1">IFERROR(ROWSDUMMYFUNCTION(IF(A2642="","",IFERROR(IMAGE(CONCATENATE("https://us.pandora.net/on/demandware.static/-/Sites-pandora-master-catalog/default/dwbb259ca6/productimages/singlepackshot/",LEFT(A2642,FIND("-",A2642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42" s="5" t="str">
        <f ca="1">IFERROR(ROWSDUMMYFUNCTION(IF(A2642="","",CONCATENATE("https://us.pandora.net/on/demandware.static/-/Sites-pandora-master-catalog/default/dwbb259ca6/productimages/singlepackshot/",LEFT(A2642,FIND("-",A2642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43" spans="1:4" x14ac:dyDescent="0.25">
      <c r="A2643" s="3" t="s">
        <v>2645</v>
      </c>
      <c r="B2643" s="4">
        <v>69</v>
      </c>
      <c r="C2643" s="3" t="str">
        <f ca="1">IFERROR(ROWSDUMMYFUNCTION(IF(A2643="","",IFERROR(IMAGE(CONCATENATE("https://us.pandora.net/on/demandware.static/-/Sites-pandora-master-catalog/default/dwbb259ca6/productimages/singlepackshot/",LEFT(A2643,FIND("-",A2643&amp;"-")-1),"_RGB.png")),""))),"{""url"":""https://us.pandora.net/on/demandware.static/-/Sites-pandora-master-catalog/default/dwbb259ca6/productimages/singlepackshot/594028C00_RGB.png"",""mode"":1}")</f>
        <v>{"url":"https://us.pandora.net/on/demandware.static/-/Sites-pandora-master-catalog/default/dwbb259ca6/productimages/singlepackshot/594028C00_RGB.png","mode":1}</v>
      </c>
      <c r="D2643" s="5" t="str">
        <f ca="1">IFERROR(ROWSDUMMYFUNCTION(IF(A2643="","",CONCATENATE("https://us.pandora.net/on/demandware.static/-/Sites-pandora-master-catalog/default/dwbb259ca6/productimages/singlepackshot/",LEFT(A2643,FIND("-",A2643&amp;"-")-1),"_RGB.png"))),"https://us.pandora.net/on/demandware.static/-/Sites-pandora-master-catalog/default/dwbb259ca6/productimages/singlepackshot/594028C00_RGB.png")</f>
        <v>https://us.pandora.net/on/demandware.static/-/Sites-pandora-master-catalog/default/dwbb259ca6/productimages/singlepackshot/594028C00_RGB.png</v>
      </c>
    </row>
    <row r="2644" spans="1:4" x14ac:dyDescent="0.25">
      <c r="A2644" s="3" t="s">
        <v>2646</v>
      </c>
      <c r="B2644" s="4">
        <v>169</v>
      </c>
      <c r="C2644" s="3" t="str">
        <f ca="1">IFERROR(ROWSDUMMYFUNCTION(IF(A2644="","",IFERROR(IMAGE(CONCATENATE("https://us.pandora.net/on/demandware.static/-/Sites-pandora-master-catalog/default/dwbb259ca6/productimages/singlepackshot/",LEFT(A2644,FIND("-",A2644&amp;"-")-1),"_RGB.png")),""))),"{""url"":""https://us.pandora.net/on/demandware.static/-/Sites-pandora-master-catalog/default/dwbb259ca6/productimages/singlepackshot/594226C01_RGB.png"",""mode"":1}")</f>
        <v>{"url":"https://us.pandora.net/on/demandware.static/-/Sites-pandora-master-catalog/default/dwbb259ca6/productimages/singlepackshot/594226C01_RGB.png","mode":1}</v>
      </c>
      <c r="D2644" s="5" t="str">
        <f ca="1">IFERROR(ROWSDUMMYFUNCTION(IF(A2644="","",CONCATENATE("https://us.pandora.net/on/demandware.static/-/Sites-pandora-master-catalog/default/dwbb259ca6/productimages/singlepackshot/",LEFT(A2644,FIND("-",A2644&amp;"-")-1),"_RGB.png"))),"https://us.pandora.net/on/demandware.static/-/Sites-pandora-master-catalog/default/dwbb259ca6/productimages/singlepackshot/594226C01_RGB.png")</f>
        <v>https://us.pandora.net/on/demandware.static/-/Sites-pandora-master-catalog/default/dwbb259ca6/productimages/singlepackshot/594226C01_RGB.png</v>
      </c>
    </row>
    <row r="2645" spans="1:4" x14ac:dyDescent="0.25">
      <c r="A2645" s="3" t="s">
        <v>2647</v>
      </c>
      <c r="B2645" s="4">
        <v>169</v>
      </c>
      <c r="C2645" s="3" t="str">
        <f ca="1">IFERROR(ROWSDUMMYFUNCTION(IF(A2645="","",IFERROR(IMAGE(CONCATENATE("https://us.pandora.net/on/demandware.static/-/Sites-pandora-master-catalog/default/dwbb259ca6/productimages/singlepackshot/",LEFT(A2645,FIND("-",A2645&amp;"-")-1),"_RGB.png")),""))),"{""url"":""https://us.pandora.net/on/demandware.static/-/Sites-pandora-master-catalog/default/dwbb259ca6/productimages/singlepackshot/594226C01_RGB.png"",""mode"":1}")</f>
        <v>{"url":"https://us.pandora.net/on/demandware.static/-/Sites-pandora-master-catalog/default/dwbb259ca6/productimages/singlepackshot/594226C01_RGB.png","mode":1}</v>
      </c>
      <c r="D2645" s="5" t="str">
        <f ca="1">IFERROR(ROWSDUMMYFUNCTION(IF(A2645="","",CONCATENATE("https://us.pandora.net/on/demandware.static/-/Sites-pandora-master-catalog/default/dwbb259ca6/productimages/singlepackshot/",LEFT(A2645,FIND("-",A2645&amp;"-")-1),"_RGB.png"))),"https://us.pandora.net/on/demandware.static/-/Sites-pandora-master-catalog/default/dwbb259ca6/productimages/singlepackshot/594226C01_RGB.png")</f>
        <v>https://us.pandora.net/on/demandware.static/-/Sites-pandora-master-catalog/default/dwbb259ca6/productimages/singlepackshot/594226C01_RGB.png</v>
      </c>
    </row>
    <row r="2646" spans="1:4" x14ac:dyDescent="0.25">
      <c r="A2646" s="3" t="s">
        <v>2648</v>
      </c>
      <c r="B2646" s="4">
        <v>169</v>
      </c>
      <c r="C2646" s="3" t="str">
        <f ca="1">IFERROR(ROWSDUMMYFUNCTION(IF(A2646="","",IFERROR(IMAGE(CONCATENATE("https://us.pandora.net/on/demandware.static/-/Sites-pandora-master-catalog/default/dwbb259ca6/productimages/singlepackshot/",LEFT(A2646,FIND("-",A2646&amp;"-")-1),"_RGB.png")),""))),"{""url"":""https://us.pandora.net/on/demandware.static/-/Sites-pandora-master-catalog/default/dwbb259ca6/productimages/singlepackshot/594226C01_RGB.png"",""mode"":1}")</f>
        <v>{"url":"https://us.pandora.net/on/demandware.static/-/Sites-pandora-master-catalog/default/dwbb259ca6/productimages/singlepackshot/594226C01_RGB.png","mode":1}</v>
      </c>
      <c r="D2646" s="5" t="str">
        <f ca="1">IFERROR(ROWSDUMMYFUNCTION(IF(A2646="","",CONCATENATE("https://us.pandora.net/on/demandware.static/-/Sites-pandora-master-catalog/default/dwbb259ca6/productimages/singlepackshot/",LEFT(A2646,FIND("-",A2646&amp;"-")-1),"_RGB.png"))),"https://us.pandora.net/on/demandware.static/-/Sites-pandora-master-catalog/default/dwbb259ca6/productimages/singlepackshot/594226C01_RGB.png")</f>
        <v>https://us.pandora.net/on/demandware.static/-/Sites-pandora-master-catalog/default/dwbb259ca6/productimages/singlepackshot/594226C01_RGB.png</v>
      </c>
    </row>
    <row r="2647" spans="1:4" x14ac:dyDescent="0.25">
      <c r="A2647" s="3" t="s">
        <v>2649</v>
      </c>
      <c r="B2647" s="4">
        <v>199</v>
      </c>
      <c r="C2647" s="3" t="str">
        <f ca="1">IFERROR(ROWSDUMMYFUNCTION(IF(A2647="","",IFERROR(IMAGE(CONCATENATE("https://us.pandora.net/on/demandware.static/-/Sites-pandora-master-catalog/default/dwbb259ca6/productimages/singlepackshot/",LEFT(A2647,FIND("-",A2647&amp;"-")-1),"_RGB.png")),""))),"{""url"":""https://us.pandora.net/on/demandware.static/-/Sites-pandora-master-catalog/default/dwbb259ca6/productimages/singlepackshot/594227C01_RGB.png"",""mode"":1}")</f>
        <v>{"url":"https://us.pandora.net/on/demandware.static/-/Sites-pandora-master-catalog/default/dwbb259ca6/productimages/singlepackshot/594227C01_RGB.png","mode":1}</v>
      </c>
      <c r="D2647" s="5" t="str">
        <f ca="1">IFERROR(ROWSDUMMYFUNCTION(IF(A2647="","",CONCATENATE("https://us.pandora.net/on/demandware.static/-/Sites-pandora-master-catalog/default/dwbb259ca6/productimages/singlepackshot/",LEFT(A2647,FIND("-",A2647&amp;"-")-1),"_RGB.png"))),"https://us.pandora.net/on/demandware.static/-/Sites-pandora-master-catalog/default/dwbb259ca6/productimages/singlepackshot/594227C01_RGB.png")</f>
        <v>https://us.pandora.net/on/demandware.static/-/Sites-pandora-master-catalog/default/dwbb259ca6/productimages/singlepackshot/594227C01_RGB.png</v>
      </c>
    </row>
    <row r="2648" spans="1:4" x14ac:dyDescent="0.25">
      <c r="A2648" s="3" t="s">
        <v>2650</v>
      </c>
      <c r="B2648" s="4">
        <v>199</v>
      </c>
      <c r="C2648" s="3" t="str">
        <f ca="1">IFERROR(ROWSDUMMYFUNCTION(IF(A2648="","",IFERROR(IMAGE(CONCATENATE("https://us.pandora.net/on/demandware.static/-/Sites-pandora-master-catalog/default/dwbb259ca6/productimages/singlepackshot/",LEFT(A2648,FIND("-",A2648&amp;"-")-1),"_RGB.png")),""))),"{""url"":""https://us.pandora.net/on/demandware.static/-/Sites-pandora-master-catalog/default/dwbb259ca6/productimages/singlepackshot/594227C01_RGB.png"",""mode"":1}")</f>
        <v>{"url":"https://us.pandora.net/on/demandware.static/-/Sites-pandora-master-catalog/default/dwbb259ca6/productimages/singlepackshot/594227C01_RGB.png","mode":1}</v>
      </c>
      <c r="D2648" s="5" t="str">
        <f ca="1">IFERROR(ROWSDUMMYFUNCTION(IF(A2648="","",CONCATENATE("https://us.pandora.net/on/demandware.static/-/Sites-pandora-master-catalog/default/dwbb259ca6/productimages/singlepackshot/",LEFT(A2648,FIND("-",A2648&amp;"-")-1),"_RGB.png"))),"https://us.pandora.net/on/demandware.static/-/Sites-pandora-master-catalog/default/dwbb259ca6/productimages/singlepackshot/594227C01_RGB.png")</f>
        <v>https://us.pandora.net/on/demandware.static/-/Sites-pandora-master-catalog/default/dwbb259ca6/productimages/singlepackshot/594227C01_RGB.png</v>
      </c>
    </row>
    <row r="2649" spans="1:4" x14ac:dyDescent="0.25">
      <c r="A2649" s="3" t="s">
        <v>2651</v>
      </c>
      <c r="B2649" s="4">
        <v>199</v>
      </c>
      <c r="C2649" s="3" t="str">
        <f ca="1">IFERROR(ROWSDUMMYFUNCTION(IF(A2649="","",IFERROR(IMAGE(CONCATENATE("https://us.pandora.net/on/demandware.static/-/Sites-pandora-master-catalog/default/dwbb259ca6/productimages/singlepackshot/",LEFT(A2649,FIND("-",A2649&amp;"-")-1),"_RGB.png")),""))),"{""url"":""https://us.pandora.net/on/demandware.static/-/Sites-pandora-master-catalog/default/dwbb259ca6/productimages/singlepackshot/594227C01_RGB.png"",""mode"":1}")</f>
        <v>{"url":"https://us.pandora.net/on/demandware.static/-/Sites-pandora-master-catalog/default/dwbb259ca6/productimages/singlepackshot/594227C01_RGB.png","mode":1}</v>
      </c>
      <c r="D2649" s="5" t="str">
        <f ca="1">IFERROR(ROWSDUMMYFUNCTION(IF(A2649="","",CONCATENATE("https://us.pandora.net/on/demandware.static/-/Sites-pandora-master-catalog/default/dwbb259ca6/productimages/singlepackshot/",LEFT(A2649,FIND("-",A2649&amp;"-")-1),"_RGB.png"))),"https://us.pandora.net/on/demandware.static/-/Sites-pandora-master-catalog/default/dwbb259ca6/productimages/singlepackshot/594227C01_RGB.png")</f>
        <v>https://us.pandora.net/on/demandware.static/-/Sites-pandora-master-catalog/default/dwbb259ca6/productimages/singlepackshot/594227C01_RGB.png</v>
      </c>
    </row>
    <row r="2650" spans="1:4" x14ac:dyDescent="0.25">
      <c r="A2650" s="3" t="s">
        <v>2652</v>
      </c>
      <c r="B2650" s="4">
        <v>79</v>
      </c>
      <c r="C2650" s="3" t="str">
        <f ca="1">IFERROR(ROWSDUMMYFUNCTION(IF(A2650="","",IFERROR(IMAGE(CONCATENATE("https://us.pandora.net/on/demandware.static/-/Sites-pandora-master-catalog/default/dwbb259ca6/productimages/singlepackshot/",LEFT(A2650,FIND("-",A2650&amp;"-")-1),"_RGB.png")),""))),"{""url"":""https://us.pandora.net/on/demandware.static/-/Sites-pandora-master-catalog/default/dwbb259ca6/productimages/singlepackshot/594234C01_RGB.png"",""mode"":1}")</f>
        <v>{"url":"https://us.pandora.net/on/demandware.static/-/Sites-pandora-master-catalog/default/dwbb259ca6/productimages/singlepackshot/594234C01_RGB.png","mode":1}</v>
      </c>
      <c r="D2650" s="5" t="str">
        <f ca="1">IFERROR(ROWSDUMMYFUNCTION(IF(A2650="","",CONCATENATE("https://us.pandora.net/on/demandware.static/-/Sites-pandora-master-catalog/default/dwbb259ca6/productimages/singlepackshot/",LEFT(A2650,FIND("-",A2650&amp;"-")-1),"_RGB.png"))),"https://us.pandora.net/on/demandware.static/-/Sites-pandora-master-catalog/default/dwbb259ca6/productimages/singlepackshot/594234C01_RGB.png")</f>
        <v>https://us.pandora.net/on/demandware.static/-/Sites-pandora-master-catalog/default/dwbb259ca6/productimages/singlepackshot/594234C01_RGB.png</v>
      </c>
    </row>
    <row r="2651" spans="1:4" x14ac:dyDescent="0.25">
      <c r="A2651" s="3" t="s">
        <v>2653</v>
      </c>
      <c r="B2651" s="4">
        <v>79</v>
      </c>
      <c r="C2651" s="3" t="str">
        <f ca="1">IFERROR(ROWSDUMMYFUNCTION(IF(A2651="","",IFERROR(IMAGE(CONCATENATE("https://us.pandora.net/on/demandware.static/-/Sites-pandora-master-catalog/default/dwbb259ca6/productimages/singlepackshot/",LEFT(A2651,FIND("-",A2651&amp;"-")-1),"_RGB.png")),""))),"{""url"":""https://us.pandora.net/on/demandware.static/-/Sites-pandora-master-catalog/default/dwbb259ca6/productimages/singlepackshot/594234C01_RGB.png"",""mode"":1}")</f>
        <v>{"url":"https://us.pandora.net/on/demandware.static/-/Sites-pandora-master-catalog/default/dwbb259ca6/productimages/singlepackshot/594234C01_RGB.png","mode":1}</v>
      </c>
      <c r="D2651" s="5" t="str">
        <f ca="1">IFERROR(ROWSDUMMYFUNCTION(IF(A2651="","",CONCATENATE("https://us.pandora.net/on/demandware.static/-/Sites-pandora-master-catalog/default/dwbb259ca6/productimages/singlepackshot/",LEFT(A2651,FIND("-",A2651&amp;"-")-1),"_RGB.png"))),"https://us.pandora.net/on/demandware.static/-/Sites-pandora-master-catalog/default/dwbb259ca6/productimages/singlepackshot/594234C01_RGB.png")</f>
        <v>https://us.pandora.net/on/demandware.static/-/Sites-pandora-master-catalog/default/dwbb259ca6/productimages/singlepackshot/594234C01_RGB.png</v>
      </c>
    </row>
    <row r="2652" spans="1:4" x14ac:dyDescent="0.25">
      <c r="A2652" s="3" t="s">
        <v>2654</v>
      </c>
      <c r="B2652" s="4">
        <v>79</v>
      </c>
      <c r="C2652" s="3" t="str">
        <f ca="1">IFERROR(ROWSDUMMYFUNCTION(IF(A2652="","",IFERROR(IMAGE(CONCATENATE("https://us.pandora.net/on/demandware.static/-/Sites-pandora-master-catalog/default/dwbb259ca6/productimages/singlepackshot/",LEFT(A2652,FIND("-",A2652&amp;"-")-1),"_RGB.png")),""))),"{""url"":""https://us.pandora.net/on/demandware.static/-/Sites-pandora-master-catalog/default/dwbb259ca6/productimages/singlepackshot/594234C01_RGB.png"",""mode"":1}")</f>
        <v>{"url":"https://us.pandora.net/on/demandware.static/-/Sites-pandora-master-catalog/default/dwbb259ca6/productimages/singlepackshot/594234C01_RGB.png","mode":1}</v>
      </c>
      <c r="D2652" s="5" t="str">
        <f ca="1">IFERROR(ROWSDUMMYFUNCTION(IF(A2652="","",CONCATENATE("https://us.pandora.net/on/demandware.static/-/Sites-pandora-master-catalog/default/dwbb259ca6/productimages/singlepackshot/",LEFT(A2652,FIND("-",A2652&amp;"-")-1),"_RGB.png"))),"https://us.pandora.net/on/demandware.static/-/Sites-pandora-master-catalog/default/dwbb259ca6/productimages/singlepackshot/594234C01_RGB.png")</f>
        <v>https://us.pandora.net/on/demandware.static/-/Sites-pandora-master-catalog/default/dwbb259ca6/productimages/singlepackshot/594234C01_RGB.png</v>
      </c>
    </row>
    <row r="2653" spans="1:4" x14ac:dyDescent="0.25">
      <c r="A2653" s="3" t="s">
        <v>2655</v>
      </c>
      <c r="B2653" s="4">
        <v>69</v>
      </c>
      <c r="C2653" s="3" t="str">
        <f ca="1">IFERROR(ROWSDUMMYFUNCTION(IF(A2653="","",IFERROR(IMAGE(CONCATENATE("https://us.pandora.net/on/demandware.static/-/Sites-pandora-master-catalog/default/dwbb259ca6/productimages/singlepackshot/",LEFT(A2653,FIND("-",A2653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3" s="5" t="str">
        <f ca="1">IFERROR(ROWSDUMMYFUNCTION(IF(A2653="","",CONCATENATE("https://us.pandora.net/on/demandware.static/-/Sites-pandora-master-catalog/default/dwbb259ca6/productimages/singlepackshot/",LEFT(A2653,FIND("-",A2653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54" spans="1:4" x14ac:dyDescent="0.25">
      <c r="A2654" s="3" t="s">
        <v>2656</v>
      </c>
      <c r="B2654" s="4">
        <v>69</v>
      </c>
      <c r="C2654" s="3" t="str">
        <f ca="1">IFERROR(ROWSDUMMYFUNCTION(IF(A2654="","",IFERROR(IMAGE(CONCATENATE("https://us.pandora.net/on/demandware.static/-/Sites-pandora-master-catalog/default/dwbb259ca6/productimages/singlepackshot/",LEFT(A2654,FIND("-",A2654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4" s="5" t="str">
        <f ca="1">IFERROR(ROWSDUMMYFUNCTION(IF(A2654="","",CONCATENATE("https://us.pandora.net/on/demandware.static/-/Sites-pandora-master-catalog/default/dwbb259ca6/productimages/singlepackshot/",LEFT(A2654,FIND("-",A2654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55" spans="1:4" x14ac:dyDescent="0.25">
      <c r="A2655" s="3" t="s">
        <v>2657</v>
      </c>
      <c r="B2655" s="4">
        <v>69</v>
      </c>
      <c r="C2655" s="3" t="str">
        <f ca="1">IFERROR(ROWSDUMMYFUNCTION(IF(A2655="","",IFERROR(IMAGE(CONCATENATE("https://us.pandora.net/on/demandware.static/-/Sites-pandora-master-catalog/default/dwbb259ca6/productimages/singlepackshot/",LEFT(A2655,FIND("-",A2655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5" s="5" t="str">
        <f ca="1">IFERROR(ROWSDUMMYFUNCTION(IF(A2655="","",CONCATENATE("https://us.pandora.net/on/demandware.static/-/Sites-pandora-master-catalog/default/dwbb259ca6/productimages/singlepackshot/",LEFT(A2655,FIND("-",A2655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56" spans="1:4" x14ac:dyDescent="0.25">
      <c r="A2656" s="3" t="s">
        <v>2658</v>
      </c>
      <c r="B2656" s="4">
        <v>69</v>
      </c>
      <c r="C2656" s="3" t="str">
        <f ca="1">IFERROR(ROWSDUMMYFUNCTION(IF(A2656="","",IFERROR(IMAGE(CONCATENATE("https://us.pandora.net/on/demandware.static/-/Sites-pandora-master-catalog/default/dwbb259ca6/productimages/singlepackshot/",LEFT(A2656,FIND("-",A2656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6" s="5" t="str">
        <f ca="1">IFERROR(ROWSDUMMYFUNCTION(IF(A2656="","",CONCATENATE("https://us.pandora.net/on/demandware.static/-/Sites-pandora-master-catalog/default/dwbb259ca6/productimages/singlepackshot/",LEFT(A2656,FIND("-",A2656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57" spans="1:4" x14ac:dyDescent="0.25">
      <c r="A2657" s="3" t="s">
        <v>2659</v>
      </c>
      <c r="B2657" s="4">
        <v>69</v>
      </c>
      <c r="C2657" s="3" t="str">
        <f ca="1">IFERROR(ROWSDUMMYFUNCTION(IF(A2657="","",IFERROR(IMAGE(CONCATENATE("https://us.pandora.net/on/demandware.static/-/Sites-pandora-master-catalog/default/dwbb259ca6/productimages/singlepackshot/",LEFT(A2657,FIND("-",A2657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7" s="5" t="str">
        <f ca="1">IFERROR(ROWSDUMMYFUNCTION(IF(A2657="","",CONCATENATE("https://us.pandora.net/on/demandware.static/-/Sites-pandora-master-catalog/default/dwbb259ca6/productimages/singlepackshot/",LEFT(A2657,FIND("-",A2657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58" spans="1:4" x14ac:dyDescent="0.25">
      <c r="A2658" s="3" t="s">
        <v>2660</v>
      </c>
      <c r="B2658" s="4">
        <v>69</v>
      </c>
      <c r="C2658" s="3" t="str">
        <f ca="1">IFERROR(ROWSDUMMYFUNCTION(IF(A2658="","",IFERROR(IMAGE(CONCATENATE("https://us.pandora.net/on/demandware.static/-/Sites-pandora-master-catalog/default/dwbb259ca6/productimages/singlepackshot/",LEFT(A2658,FIND("-",A2658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8" s="5" t="str">
        <f ca="1">IFERROR(ROWSDUMMYFUNCTION(IF(A2658="","",CONCATENATE("https://us.pandora.net/on/demandware.static/-/Sites-pandora-master-catalog/default/dwbb259ca6/productimages/singlepackshot/",LEFT(A2658,FIND("-",A2658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59" spans="1:4" x14ac:dyDescent="0.25">
      <c r="A2659" s="3" t="s">
        <v>2661</v>
      </c>
      <c r="B2659" s="4">
        <v>69</v>
      </c>
      <c r="C2659" s="3" t="str">
        <f ca="1">IFERROR(ROWSDUMMYFUNCTION(IF(A2659="","",IFERROR(IMAGE(CONCATENATE("https://us.pandora.net/on/demandware.static/-/Sites-pandora-master-catalog/default/dwbb259ca6/productimages/singlepackshot/",LEFT(A2659,FIND("-",A2659&amp;"-")-1),"_RGB.png")),""))),"{""url"":""https://us.pandora.net/on/demandware.static/-/Sites-pandora-master-catalog/default/dwbb259ca6/productimages/singlepackshot/594236C00_RGB.png"",""mode"":1}")</f>
        <v>{"url":"https://us.pandora.net/on/demandware.static/-/Sites-pandora-master-catalog/default/dwbb259ca6/productimages/singlepackshot/594236C00_RGB.png","mode":1}</v>
      </c>
      <c r="D2659" s="5" t="str">
        <f ca="1">IFERROR(ROWSDUMMYFUNCTION(IF(A2659="","",CONCATENATE("https://us.pandora.net/on/demandware.static/-/Sites-pandora-master-catalog/default/dwbb259ca6/productimages/singlepackshot/",LEFT(A2659,FIND("-",A2659&amp;"-")-1),"_RGB.png"))),"https://us.pandora.net/on/demandware.static/-/Sites-pandora-master-catalog/default/dwbb259ca6/productimages/singlepackshot/594236C00_RGB.png")</f>
        <v>https://us.pandora.net/on/demandware.static/-/Sites-pandora-master-catalog/default/dwbb259ca6/productimages/singlepackshot/594236C00_RGB.png</v>
      </c>
    </row>
    <row r="2660" spans="1:4" x14ac:dyDescent="0.25">
      <c r="A2660" s="3" t="s">
        <v>2662</v>
      </c>
      <c r="B2660" s="4">
        <v>249</v>
      </c>
      <c r="C2660" s="3" t="str">
        <f ca="1">IFERROR(ROWSDUMMYFUNCTION(IF(A2660="","",IFERROR(IMAGE(CONCATENATE("https://us.pandora.net/on/demandware.static/-/Sites-pandora-master-catalog/default/dwbb259ca6/productimages/singlepackshot/",LEFT(A2660,FIND("-",A2660&amp;"-")-1),"_RGB.png")),""))),"{""url"":""https://us.pandora.net/on/demandware.static/-/Sites-pandora-master-catalog/default/dwbb259ca6/productimages/singlepackshot/594262C01_RGB.png"",""mode"":1}")</f>
        <v>{"url":"https://us.pandora.net/on/demandware.static/-/Sites-pandora-master-catalog/default/dwbb259ca6/productimages/singlepackshot/594262C01_RGB.png","mode":1}</v>
      </c>
      <c r="D2660" s="5" t="str">
        <f ca="1">IFERROR(ROWSDUMMYFUNCTION(IF(A2660="","",CONCATENATE("https://us.pandora.net/on/demandware.static/-/Sites-pandora-master-catalog/default/dwbb259ca6/productimages/singlepackshot/",LEFT(A2660,FIND("-",A2660&amp;"-")-1),"_RGB.png"))),"https://us.pandora.net/on/demandware.static/-/Sites-pandora-master-catalog/default/dwbb259ca6/productimages/singlepackshot/594262C01_RGB.png")</f>
        <v>https://us.pandora.net/on/demandware.static/-/Sites-pandora-master-catalog/default/dwbb259ca6/productimages/singlepackshot/594262C01_RGB.png</v>
      </c>
    </row>
    <row r="2661" spans="1:4" x14ac:dyDescent="0.25">
      <c r="A2661" s="3" t="s">
        <v>2663</v>
      </c>
      <c r="B2661" s="4">
        <v>249</v>
      </c>
      <c r="C2661" s="3" t="str">
        <f ca="1">IFERROR(ROWSDUMMYFUNCTION(IF(A2661="","",IFERROR(IMAGE(CONCATENATE("https://us.pandora.net/on/demandware.static/-/Sites-pandora-master-catalog/default/dwbb259ca6/productimages/singlepackshot/",LEFT(A2661,FIND("-",A2661&amp;"-")-1),"_RGB.png")),""))),"{""url"":""https://us.pandora.net/on/demandware.static/-/Sites-pandora-master-catalog/default/dwbb259ca6/productimages/singlepackshot/594262C01_RGB.png"",""mode"":1}")</f>
        <v>{"url":"https://us.pandora.net/on/demandware.static/-/Sites-pandora-master-catalog/default/dwbb259ca6/productimages/singlepackshot/594262C01_RGB.png","mode":1}</v>
      </c>
      <c r="D2661" s="5" t="str">
        <f ca="1">IFERROR(ROWSDUMMYFUNCTION(IF(A2661="","",CONCATENATE("https://us.pandora.net/on/demandware.static/-/Sites-pandora-master-catalog/default/dwbb259ca6/productimages/singlepackshot/",LEFT(A2661,FIND("-",A2661&amp;"-")-1),"_RGB.png"))),"https://us.pandora.net/on/demandware.static/-/Sites-pandora-master-catalog/default/dwbb259ca6/productimages/singlepackshot/594262C01_RGB.png")</f>
        <v>https://us.pandora.net/on/demandware.static/-/Sites-pandora-master-catalog/default/dwbb259ca6/productimages/singlepackshot/594262C01_RGB.png</v>
      </c>
    </row>
    <row r="2662" spans="1:4" x14ac:dyDescent="0.25">
      <c r="A2662" s="3" t="s">
        <v>2664</v>
      </c>
      <c r="B2662" s="4">
        <v>249</v>
      </c>
      <c r="C2662" s="3" t="str">
        <f ca="1">IFERROR(ROWSDUMMYFUNCTION(IF(A2662="","",IFERROR(IMAGE(CONCATENATE("https://us.pandora.net/on/demandware.static/-/Sites-pandora-master-catalog/default/dwbb259ca6/productimages/singlepackshot/",LEFT(A2662,FIND("-",A2662&amp;"-")-1),"_RGB.png")),""))),"{""url"":""https://us.pandora.net/on/demandware.static/-/Sites-pandora-master-catalog/default/dwbb259ca6/productimages/singlepackshot/594262C01_RGB.png"",""mode"":1}")</f>
        <v>{"url":"https://us.pandora.net/on/demandware.static/-/Sites-pandora-master-catalog/default/dwbb259ca6/productimages/singlepackshot/594262C01_RGB.png","mode":1}</v>
      </c>
      <c r="D2662" s="5" t="str">
        <f ca="1">IFERROR(ROWSDUMMYFUNCTION(IF(A2662="","",CONCATENATE("https://us.pandora.net/on/demandware.static/-/Sites-pandora-master-catalog/default/dwbb259ca6/productimages/singlepackshot/",LEFT(A2662,FIND("-",A2662&amp;"-")-1),"_RGB.png"))),"https://us.pandora.net/on/demandware.static/-/Sites-pandora-master-catalog/default/dwbb259ca6/productimages/singlepackshot/594262C01_RGB.png")</f>
        <v>https://us.pandora.net/on/demandware.static/-/Sites-pandora-master-catalog/default/dwbb259ca6/productimages/singlepackshot/594262C01_RGB.png</v>
      </c>
    </row>
    <row r="2663" spans="1:4" x14ac:dyDescent="0.25">
      <c r="A2663" s="3" t="s">
        <v>2665</v>
      </c>
      <c r="B2663" s="4">
        <v>59</v>
      </c>
      <c r="C2663" s="3" t="str">
        <f ca="1">IFERROR(ROWSDUMMYFUNCTION(IF(A2663="","",IFERROR(IMAGE(CONCATENATE("https://us.pandora.net/on/demandware.static/-/Sites-pandora-master-catalog/default/dwbb259ca6/productimages/singlepackshot/",LEFT(A2663,FIND("-",A2663&amp;"-")-1),"_RGB.png")),""))),"{""url"":""https://us.pandora.net/on/demandware.static/-/Sites-pandora-master-catalog/default/dwbb259ca6/productimages/singlepackshot/596268_RGB.png"",""mode"":1}")</f>
        <v>{"url":"https://us.pandora.net/on/demandware.static/-/Sites-pandora-master-catalog/default/dwbb259ca6/productimages/singlepackshot/596268_RGB.png","mode":1}</v>
      </c>
      <c r="D2663" s="5" t="str">
        <f ca="1">IFERROR(ROWSDUMMYFUNCTION(IF(A2663="","",CONCATENATE("https://us.pandora.net/on/demandware.static/-/Sites-pandora-master-catalog/default/dwbb259ca6/productimages/singlepackshot/",LEFT(A2663,FIND("-",A2663&amp;"-")-1),"_RGB.png"))),"https://us.pandora.net/on/demandware.static/-/Sites-pandora-master-catalog/default/dwbb259ca6/productimages/singlepackshot/596268_RGB.png")</f>
        <v>https://us.pandora.net/on/demandware.static/-/Sites-pandora-master-catalog/default/dwbb259ca6/productimages/singlepackshot/596268_RGB.png</v>
      </c>
    </row>
    <row r="2664" spans="1:4" x14ac:dyDescent="0.25">
      <c r="A2664" s="3" t="s">
        <v>2666</v>
      </c>
      <c r="B2664" s="4">
        <v>59</v>
      </c>
      <c r="C2664" s="3" t="str">
        <f ca="1">IFERROR(ROWSDUMMYFUNCTION(IF(A2664="","",IFERROR(IMAGE(CONCATENATE("https://us.pandora.net/on/demandware.static/-/Sites-pandora-master-catalog/default/dwbb259ca6/productimages/singlepackshot/",LEFT(A2664,FIND("-",A2664&amp;"-")-1),"_RGB.png")),""))),"{""url"":""https://us.pandora.net/on/demandware.static/-/Sites-pandora-master-catalog/default/dwbb259ca6/productimages/singlepackshot/596268_RGB.png"",""mode"":1}")</f>
        <v>{"url":"https://us.pandora.net/on/demandware.static/-/Sites-pandora-master-catalog/default/dwbb259ca6/productimages/singlepackshot/596268_RGB.png","mode":1}</v>
      </c>
      <c r="D2664" s="5" t="str">
        <f ca="1">IFERROR(ROWSDUMMYFUNCTION(IF(A2664="","",CONCATENATE("https://us.pandora.net/on/demandware.static/-/Sites-pandora-master-catalog/default/dwbb259ca6/productimages/singlepackshot/",LEFT(A2664,FIND("-",A2664&amp;"-")-1),"_RGB.png"))),"https://us.pandora.net/on/demandware.static/-/Sites-pandora-master-catalog/default/dwbb259ca6/productimages/singlepackshot/596268_RGB.png")</f>
        <v>https://us.pandora.net/on/demandware.static/-/Sites-pandora-master-catalog/default/dwbb259ca6/productimages/singlepackshot/596268_RGB.png</v>
      </c>
    </row>
    <row r="2665" spans="1:4" x14ac:dyDescent="0.25">
      <c r="A2665" s="3" t="s">
        <v>2667</v>
      </c>
      <c r="B2665" s="4">
        <v>59</v>
      </c>
      <c r="C2665" s="3" t="str">
        <f ca="1">IFERROR(ROWSDUMMYFUNCTION(IF(A2665="","",IFERROR(IMAGE(CONCATENATE("https://us.pandora.net/on/demandware.static/-/Sites-pandora-master-catalog/default/dwbb259ca6/productimages/singlepackshot/",LEFT(A2665,FIND("-",A2665&amp;"-")-1),"_RGB.png")),""))),"{""url"":""https://us.pandora.net/on/demandware.static/-/Sites-pandora-master-catalog/default/dwbb259ca6/productimages/singlepackshot/596268_RGB.png"",""mode"":1}")</f>
        <v>{"url":"https://us.pandora.net/on/demandware.static/-/Sites-pandora-master-catalog/default/dwbb259ca6/productimages/singlepackshot/596268_RGB.png","mode":1}</v>
      </c>
      <c r="D2665" s="5" t="str">
        <f ca="1">IFERROR(ROWSDUMMYFUNCTION(IF(A2665="","",CONCATENATE("https://us.pandora.net/on/demandware.static/-/Sites-pandora-master-catalog/default/dwbb259ca6/productimages/singlepackshot/",LEFT(A2665,FIND("-",A2665&amp;"-")-1),"_RGB.png"))),"https://us.pandora.net/on/demandware.static/-/Sites-pandora-master-catalog/default/dwbb259ca6/productimages/singlepackshot/596268_RGB.png")</f>
        <v>https://us.pandora.net/on/demandware.static/-/Sites-pandora-master-catalog/default/dwbb259ca6/productimages/singlepackshot/596268_RGB.png</v>
      </c>
    </row>
    <row r="2666" spans="1:4" x14ac:dyDescent="0.25">
      <c r="A2666" s="3" t="s">
        <v>2668</v>
      </c>
      <c r="B2666" s="4">
        <v>59</v>
      </c>
      <c r="C2666" s="3" t="str">
        <f ca="1">IFERROR(ROWSDUMMYFUNCTION(IF(A2666="","",IFERROR(IMAGE(CONCATENATE("https://us.pandora.net/on/demandware.static/-/Sites-pandora-master-catalog/default/dwbb259ca6/productimages/singlepackshot/",LEFT(A2666,FIND("-",A2666&amp;"-")-1),"_RGB.png")),""))),"{""url"":""https://us.pandora.net/on/demandware.static/-/Sites-pandora-master-catalog/default/dwbb259ca6/productimages/singlepackshot/596268_RGB.png"",""mode"":1}")</f>
        <v>{"url":"https://us.pandora.net/on/demandware.static/-/Sites-pandora-master-catalog/default/dwbb259ca6/productimages/singlepackshot/596268_RGB.png","mode":1}</v>
      </c>
      <c r="D2666" s="5" t="str">
        <f ca="1">IFERROR(ROWSDUMMYFUNCTION(IF(A2666="","",CONCATENATE("https://us.pandora.net/on/demandware.static/-/Sites-pandora-master-catalog/default/dwbb259ca6/productimages/singlepackshot/",LEFT(A2666,FIND("-",A2666&amp;"-")-1),"_RGB.png"))),"https://us.pandora.net/on/demandware.static/-/Sites-pandora-master-catalog/default/dwbb259ca6/productimages/singlepackshot/596268_RGB.png")</f>
        <v>https://us.pandora.net/on/demandware.static/-/Sites-pandora-master-catalog/default/dwbb259ca6/productimages/singlepackshot/596268_RGB.png</v>
      </c>
    </row>
    <row r="2667" spans="1:4" x14ac:dyDescent="0.25">
      <c r="A2667" s="3" t="s">
        <v>2669</v>
      </c>
      <c r="B2667" s="4">
        <v>69</v>
      </c>
      <c r="C2667" s="3" t="str">
        <f ca="1">IFERROR(ROWSDUMMYFUNCTION(IF(A2667="","",IFERROR(IMAGE(CONCATENATE("https://us.pandora.net/on/demandware.static/-/Sites-pandora-master-catalog/default/dwbb259ca6/productimages/singlepackshot/",LEFT(A2667,FIND("-",A2667&amp;"-")-1),"_RGB.png")),""))),"{""url"":""https://us.pandora.net/on/demandware.static/-/Sites-pandora-master-catalog/default/dwbb259ca6/productimages/singlepackshot/596477_RGB.png"",""mode"":1}")</f>
        <v>{"url":"https://us.pandora.net/on/demandware.static/-/Sites-pandora-master-catalog/default/dwbb259ca6/productimages/singlepackshot/596477_RGB.png","mode":1}</v>
      </c>
      <c r="D2667" s="5" t="str">
        <f ca="1">IFERROR(ROWSDUMMYFUNCTION(IF(A2667="","",CONCATENATE("https://us.pandora.net/on/demandware.static/-/Sites-pandora-master-catalog/default/dwbb259ca6/productimages/singlepackshot/",LEFT(A2667,FIND("-",A2667&amp;"-")-1),"_RGB.png"))),"https://us.pandora.net/on/demandware.static/-/Sites-pandora-master-catalog/default/dwbb259ca6/productimages/singlepackshot/596477_RGB.png")</f>
        <v>https://us.pandora.net/on/demandware.static/-/Sites-pandora-master-catalog/default/dwbb259ca6/productimages/singlepackshot/596477_RGB.png</v>
      </c>
    </row>
    <row r="2668" spans="1:4" x14ac:dyDescent="0.25">
      <c r="A2668" s="3" t="s">
        <v>2670</v>
      </c>
      <c r="B2668" s="4">
        <v>99</v>
      </c>
      <c r="C2668" s="3" t="str">
        <f ca="1">IFERROR(ROWSDUMMYFUNCTION(IF(A2668="","",IFERROR(IMAGE(CONCATENATE("https://us.pandora.net/on/demandware.static/-/Sites-pandora-master-catalog/default/dwbb259ca6/productimages/singlepackshot/",LEFT(A2668,FIND("-",A2668&amp;"-")-1),"_RGB.png")),""))),"{""url"":""https://us.pandora.net/on/demandware.static/-/Sites-pandora-master-catalog/default/dwbb259ca6/productimages/singlepackshot/597770CZ_RGB.png"",""mode"":1}")</f>
        <v>{"url":"https://us.pandora.net/on/demandware.static/-/Sites-pandora-master-catalog/default/dwbb259ca6/productimages/singlepackshot/597770CZ_RGB.png","mode":1}</v>
      </c>
      <c r="D2668" s="5" t="str">
        <f ca="1">IFERROR(ROWSDUMMYFUNCTION(IF(A2668="","",CONCATENATE("https://us.pandora.net/on/demandware.static/-/Sites-pandora-master-catalog/default/dwbb259ca6/productimages/singlepackshot/",LEFT(A2668,FIND("-",A2668&amp;"-")-1),"_RGB.png"))),"https://us.pandora.net/on/demandware.static/-/Sites-pandora-master-catalog/default/dwbb259ca6/productimages/singlepackshot/597770CZ_RGB.png")</f>
        <v>https://us.pandora.net/on/demandware.static/-/Sites-pandora-master-catalog/default/dwbb259ca6/productimages/singlepackshot/597770CZ_RGB.png</v>
      </c>
    </row>
    <row r="2669" spans="1:4" x14ac:dyDescent="0.25">
      <c r="A2669" s="3" t="s">
        <v>2671</v>
      </c>
      <c r="B2669" s="4">
        <v>99</v>
      </c>
      <c r="C2669" s="3" t="str">
        <f ca="1">IFERROR(ROWSDUMMYFUNCTION(IF(A2669="","",IFERROR(IMAGE(CONCATENATE("https://us.pandora.net/on/demandware.static/-/Sites-pandora-master-catalog/default/dwbb259ca6/productimages/singlepackshot/",LEFT(A2669,FIND("-",A2669&amp;"-")-1),"_RGB.png")),""))),"{""url"":""https://us.pandora.net/on/demandware.static/-/Sites-pandora-master-catalog/default/dwbb259ca6/productimages/singlepackshot/597770CZ_RGB.png"",""mode"":1}")</f>
        <v>{"url":"https://us.pandora.net/on/demandware.static/-/Sites-pandora-master-catalog/default/dwbb259ca6/productimages/singlepackshot/597770CZ_RGB.png","mode":1}</v>
      </c>
      <c r="D2669" s="5" t="str">
        <f ca="1">IFERROR(ROWSDUMMYFUNCTION(IF(A2669="","",CONCATENATE("https://us.pandora.net/on/demandware.static/-/Sites-pandora-master-catalog/default/dwbb259ca6/productimages/singlepackshot/",LEFT(A2669,FIND("-",A2669&amp;"-")-1),"_RGB.png"))),"https://us.pandora.net/on/demandware.static/-/Sites-pandora-master-catalog/default/dwbb259ca6/productimages/singlepackshot/597770CZ_RGB.png")</f>
        <v>https://us.pandora.net/on/demandware.static/-/Sites-pandora-master-catalog/default/dwbb259ca6/productimages/singlepackshot/597770CZ_RGB.png</v>
      </c>
    </row>
    <row r="2670" spans="1:4" x14ac:dyDescent="0.25">
      <c r="A2670" s="3" t="s">
        <v>2672</v>
      </c>
      <c r="B2670" s="4">
        <v>99</v>
      </c>
      <c r="C2670" s="3" t="str">
        <f ca="1">IFERROR(ROWSDUMMYFUNCTION(IF(A2670="","",IFERROR(IMAGE(CONCATENATE("https://us.pandora.net/on/demandware.static/-/Sites-pandora-master-catalog/default/dwbb259ca6/productimages/singlepackshot/",LEFT(A2670,FIND("-",A2670&amp;"-")-1),"_RGB.png")),""))),"{""url"":""https://us.pandora.net/on/demandware.static/-/Sites-pandora-master-catalog/default/dwbb259ca6/productimages/singlepackshot/597770CZ_RGB.png"",""mode"":1}")</f>
        <v>{"url":"https://us.pandora.net/on/demandware.static/-/Sites-pandora-master-catalog/default/dwbb259ca6/productimages/singlepackshot/597770CZ_RGB.png","mode":1}</v>
      </c>
      <c r="D2670" s="5" t="str">
        <f ca="1">IFERROR(ROWSDUMMYFUNCTION(IF(A2670="","",CONCATENATE("https://us.pandora.net/on/demandware.static/-/Sites-pandora-master-catalog/default/dwbb259ca6/productimages/singlepackshot/",LEFT(A2670,FIND("-",A2670&amp;"-")-1),"_RGB.png"))),"https://us.pandora.net/on/demandware.static/-/Sites-pandora-master-catalog/default/dwbb259ca6/productimages/singlepackshot/597770CZ_RGB.png")</f>
        <v>https://us.pandora.net/on/demandware.static/-/Sites-pandora-master-catalog/default/dwbb259ca6/productimages/singlepackshot/597770CZ_RGB.png</v>
      </c>
    </row>
    <row r="2671" spans="1:4" x14ac:dyDescent="0.25">
      <c r="A2671" s="3" t="s">
        <v>2673</v>
      </c>
      <c r="B2671" s="4">
        <v>99</v>
      </c>
      <c r="C2671" s="3" t="str">
        <f ca="1">IFERROR(ROWSDUMMYFUNCTION(IF(A2671="","",IFERROR(IMAGE(CONCATENATE("https://us.pandora.net/on/demandware.static/-/Sites-pandora-master-catalog/default/dwbb259ca6/productimages/singlepackshot/",LEFT(A2671,FIND("-",A2671&amp;"-")-1),"_RGB.png")),""))),"{""url"":""https://us.pandora.net/on/demandware.static/-/Sites-pandora-master-catalog/default/dwbb259ca6/productimages/singlepackshot/597770CZ_RGB.png"",""mode"":1}")</f>
        <v>{"url":"https://us.pandora.net/on/demandware.static/-/Sites-pandora-master-catalog/default/dwbb259ca6/productimages/singlepackshot/597770CZ_RGB.png","mode":1}</v>
      </c>
      <c r="D2671" s="5" t="str">
        <f ca="1">IFERROR(ROWSDUMMYFUNCTION(IF(A2671="","",CONCATENATE("https://us.pandora.net/on/demandware.static/-/Sites-pandora-master-catalog/default/dwbb259ca6/productimages/singlepackshot/",LEFT(A2671,FIND("-",A2671&amp;"-")-1),"_RGB.png"))),"https://us.pandora.net/on/demandware.static/-/Sites-pandora-master-catalog/default/dwbb259ca6/productimages/singlepackshot/597770CZ_RGB.png")</f>
        <v>https://us.pandora.net/on/demandware.static/-/Sites-pandora-master-catalog/default/dwbb259ca6/productimages/singlepackshot/597770CZ_RGB.png</v>
      </c>
    </row>
    <row r="2672" spans="1:4" x14ac:dyDescent="0.25">
      <c r="A2672" s="3" t="s">
        <v>2674</v>
      </c>
      <c r="B2672" s="4">
        <v>99</v>
      </c>
      <c r="C2672" s="3" t="str">
        <f ca="1">IFERROR(ROWSDUMMYFUNCTION(IF(A2672="","",IFERROR(IMAGE(CONCATENATE("https://us.pandora.net/on/demandware.static/-/Sites-pandora-master-catalog/default/dwbb259ca6/productimages/singlepackshot/",LEFT(A2672,FIND("-",A2672&amp;"-")-1),"_RGB.png")),""))),"{""url"":""https://us.pandora.net/on/demandware.static/-/Sites-pandora-master-catalog/default/dwbb259ca6/productimages/singlepackshot/597770CZ_RGB.png"",""mode"":1}")</f>
        <v>{"url":"https://us.pandora.net/on/demandware.static/-/Sites-pandora-master-catalog/default/dwbb259ca6/productimages/singlepackshot/597770CZ_RGB.png","mode":1}</v>
      </c>
      <c r="D2672" s="5" t="str">
        <f ca="1">IFERROR(ROWSDUMMYFUNCTION(IF(A2672="","",CONCATENATE("https://us.pandora.net/on/demandware.static/-/Sites-pandora-master-catalog/default/dwbb259ca6/productimages/singlepackshot/",LEFT(A2672,FIND("-",A2672&amp;"-")-1),"_RGB.png"))),"https://us.pandora.net/on/demandware.static/-/Sites-pandora-master-catalog/default/dwbb259ca6/productimages/singlepackshot/597770CZ_RGB.png")</f>
        <v>https://us.pandora.net/on/demandware.static/-/Sites-pandora-master-catalog/default/dwbb259ca6/productimages/singlepackshot/597770CZ_RGB.png</v>
      </c>
    </row>
    <row r="2673" spans="1:4" x14ac:dyDescent="0.25">
      <c r="A2673" s="3" t="s">
        <v>2675</v>
      </c>
      <c r="B2673" s="4">
        <v>99</v>
      </c>
      <c r="C2673" s="3" t="str">
        <f ca="1">IFERROR(ROWSDUMMYFUNCTION(IF(A2673="","",IFERROR(IMAGE(CONCATENATE("https://us.pandora.net/on/demandware.static/-/Sites-pandora-master-catalog/default/dwbb259ca6/productimages/singlepackshot/",LEFT(A2673,FIND("-",A2673&amp;"-")-1),"_RGB.png")),""))),"{""url"":""https://us.pandora.net/on/demandware.static/-/Sites-pandora-master-catalog/default/dwbb259ca6/productimages/singlepackshot/597770CZ_RGB.png"",""mode"":1}")</f>
        <v>{"url":"https://us.pandora.net/on/demandware.static/-/Sites-pandora-master-catalog/default/dwbb259ca6/productimages/singlepackshot/597770CZ_RGB.png","mode":1}</v>
      </c>
      <c r="D2673" s="5" t="str">
        <f ca="1">IFERROR(ROWSDUMMYFUNCTION(IF(A2673="","",CONCATENATE("https://us.pandora.net/on/demandware.static/-/Sites-pandora-master-catalog/default/dwbb259ca6/productimages/singlepackshot/",LEFT(A2673,FIND("-",A2673&amp;"-")-1),"_RGB.png"))),"https://us.pandora.net/on/demandware.static/-/Sites-pandora-master-catalog/default/dwbb259ca6/productimages/singlepackshot/597770CZ_RGB.png")</f>
        <v>https://us.pandora.net/on/demandware.static/-/Sites-pandora-master-catalog/default/dwbb259ca6/productimages/singlepackshot/597770CZ_RGB.png</v>
      </c>
    </row>
    <row r="2674" spans="1:4" x14ac:dyDescent="0.25">
      <c r="A2674" s="3" t="s">
        <v>2676</v>
      </c>
      <c r="B2674" s="4">
        <v>79</v>
      </c>
      <c r="C2674" s="3" t="str">
        <f ca="1">IFERROR(ROWSDUMMYFUNCTION(IF(A2674="","",IFERROR(IMAGE(CONCATENATE("https://us.pandora.net/on/demandware.static/-/Sites-pandora-master-catalog/default/dwbb259ca6/productimages/singlepackshot/",LEFT(A2674,FIND("-",A2674&amp;"-")-1),"_RGB.png")),""))),"{""url"":""https://us.pandora.net/on/demandware.static/-/Sites-pandora-master-catalog/default/dwbb259ca6/productimages/singlepackshot/598342CZ_RGB.png"",""mode"":1}")</f>
        <v>{"url":"https://us.pandora.net/on/demandware.static/-/Sites-pandora-master-catalog/default/dwbb259ca6/productimages/singlepackshot/598342CZ_RGB.png","mode":1}</v>
      </c>
      <c r="D2674" s="5" t="str">
        <f ca="1">IFERROR(ROWSDUMMYFUNCTION(IF(A2674="","",CONCATENATE("https://us.pandora.net/on/demandware.static/-/Sites-pandora-master-catalog/default/dwbb259ca6/productimages/singlepackshot/",LEFT(A2674,FIND("-",A2674&amp;"-")-1),"_RGB.png"))),"https://us.pandora.net/on/demandware.static/-/Sites-pandora-master-catalog/default/dwbb259ca6/productimages/singlepackshot/598342CZ_RGB.png")</f>
        <v>https://us.pandora.net/on/demandware.static/-/Sites-pandora-master-catalog/default/dwbb259ca6/productimages/singlepackshot/598342CZ_RGB.png</v>
      </c>
    </row>
    <row r="2675" spans="1:4" x14ac:dyDescent="0.25">
      <c r="A2675" s="3" t="s">
        <v>2677</v>
      </c>
      <c r="B2675" s="4">
        <v>79</v>
      </c>
      <c r="C2675" s="3" t="str">
        <f ca="1">IFERROR(ROWSDUMMYFUNCTION(IF(A2675="","",IFERROR(IMAGE(CONCATENATE("https://us.pandora.net/on/demandware.static/-/Sites-pandora-master-catalog/default/dwbb259ca6/productimages/singlepackshot/",LEFT(A2675,FIND("-",A2675&amp;"-")-1),"_RGB.png")),""))),"{""url"":""https://us.pandora.net/on/demandware.static/-/Sites-pandora-master-catalog/default/dwbb259ca6/productimages/singlepackshot/598342CZ_RGB.png"",""mode"":1}")</f>
        <v>{"url":"https://us.pandora.net/on/demandware.static/-/Sites-pandora-master-catalog/default/dwbb259ca6/productimages/singlepackshot/598342CZ_RGB.png","mode":1}</v>
      </c>
      <c r="D2675" s="5" t="str">
        <f ca="1">IFERROR(ROWSDUMMYFUNCTION(IF(A2675="","",CONCATENATE("https://us.pandora.net/on/demandware.static/-/Sites-pandora-master-catalog/default/dwbb259ca6/productimages/singlepackshot/",LEFT(A2675,FIND("-",A2675&amp;"-")-1),"_RGB.png"))),"https://us.pandora.net/on/demandware.static/-/Sites-pandora-master-catalog/default/dwbb259ca6/productimages/singlepackshot/598342CZ_RGB.png")</f>
        <v>https://us.pandora.net/on/demandware.static/-/Sites-pandora-master-catalog/default/dwbb259ca6/productimages/singlepackshot/598342CZ_RGB.png</v>
      </c>
    </row>
    <row r="2676" spans="1:4" x14ac:dyDescent="0.25">
      <c r="A2676" s="3" t="s">
        <v>2678</v>
      </c>
      <c r="B2676" s="4">
        <v>79</v>
      </c>
      <c r="C2676" s="3" t="str">
        <f ca="1">IFERROR(ROWSDUMMYFUNCTION(IF(A2676="","",IFERROR(IMAGE(CONCATENATE("https://us.pandora.net/on/demandware.static/-/Sites-pandora-master-catalog/default/dwbb259ca6/productimages/singlepackshot/",LEFT(A2676,FIND("-",A2676&amp;"-")-1),"_RGB.png")),""))),"{""url"":""https://us.pandora.net/on/demandware.static/-/Sites-pandora-master-catalog/default/dwbb259ca6/productimages/singlepackshot/598342CZ_RGB.png"",""mode"":1}")</f>
        <v>{"url":"https://us.pandora.net/on/demandware.static/-/Sites-pandora-master-catalog/default/dwbb259ca6/productimages/singlepackshot/598342CZ_RGB.png","mode":1}</v>
      </c>
      <c r="D2676" s="5" t="str">
        <f ca="1">IFERROR(ROWSDUMMYFUNCTION(IF(A2676="","",CONCATENATE("https://us.pandora.net/on/demandware.static/-/Sites-pandora-master-catalog/default/dwbb259ca6/productimages/singlepackshot/",LEFT(A2676,FIND("-",A2676&amp;"-")-1),"_RGB.png"))),"https://us.pandora.net/on/demandware.static/-/Sites-pandora-master-catalog/default/dwbb259ca6/productimages/singlepackshot/598342CZ_RGB.png")</f>
        <v>https://us.pandora.net/on/demandware.static/-/Sites-pandora-master-catalog/default/dwbb259ca6/productimages/singlepackshot/598342CZ_RGB.png</v>
      </c>
    </row>
    <row r="2677" spans="1:4" x14ac:dyDescent="0.25">
      <c r="A2677" s="3" t="s">
        <v>2679</v>
      </c>
      <c r="B2677" s="4">
        <v>79</v>
      </c>
      <c r="C2677" s="3" t="str">
        <f ca="1">IFERROR(ROWSDUMMYFUNCTION(IF(A2677="","",IFERROR(IMAGE(CONCATENATE("https://us.pandora.net/on/demandware.static/-/Sites-pandora-master-catalog/default/dwbb259ca6/productimages/singlepackshot/",LEFT(A2677,FIND("-",A2677&amp;"-")-1),"_RGB.png")),""))),"{""url"":""https://us.pandora.net/on/demandware.static/-/Sites-pandora-master-catalog/default/dwbb259ca6/productimages/singlepackshot/598498C01_RGB.png"",""mode"":1}")</f>
        <v>{"url":"https://us.pandora.net/on/demandware.static/-/Sites-pandora-master-catalog/default/dwbb259ca6/productimages/singlepackshot/598498C01_RGB.png","mode":1}</v>
      </c>
      <c r="D2677" s="5" t="str">
        <f ca="1">IFERROR(ROWSDUMMYFUNCTION(IF(A2677="","",CONCATENATE("https://us.pandora.net/on/demandware.static/-/Sites-pandora-master-catalog/default/dwbb259ca6/productimages/singlepackshot/",LEFT(A2677,FIND("-",A2677&amp;"-")-1),"_RGB.png"))),"https://us.pandora.net/on/demandware.static/-/Sites-pandora-master-catalog/default/dwbb259ca6/productimages/singlepackshot/598498C01_RGB.png")</f>
        <v>https://us.pandora.net/on/demandware.static/-/Sites-pandora-master-catalog/default/dwbb259ca6/productimages/singlepackshot/598498C01_RGB.png</v>
      </c>
    </row>
    <row r="2678" spans="1:4" x14ac:dyDescent="0.25">
      <c r="A2678" s="3" t="s">
        <v>2680</v>
      </c>
      <c r="B2678" s="4">
        <v>79</v>
      </c>
      <c r="C2678" s="3" t="str">
        <f ca="1">IFERROR(ROWSDUMMYFUNCTION(IF(A2678="","",IFERROR(IMAGE(CONCATENATE("https://us.pandora.net/on/demandware.static/-/Sites-pandora-master-catalog/default/dwbb259ca6/productimages/singlepackshot/",LEFT(A2678,FIND("-",A2678&amp;"-")-1),"_RGB.png")),""))),"{""url"":""https://us.pandora.net/on/demandware.static/-/Sites-pandora-master-catalog/default/dwbb259ca6/productimages/singlepackshot/598498C01_RGB.png"",""mode"":1}")</f>
        <v>{"url":"https://us.pandora.net/on/demandware.static/-/Sites-pandora-master-catalog/default/dwbb259ca6/productimages/singlepackshot/598498C01_RGB.png","mode":1}</v>
      </c>
      <c r="D2678" s="5" t="str">
        <f ca="1">IFERROR(ROWSDUMMYFUNCTION(IF(A2678="","",CONCATENATE("https://us.pandora.net/on/demandware.static/-/Sites-pandora-master-catalog/default/dwbb259ca6/productimages/singlepackshot/",LEFT(A2678,FIND("-",A2678&amp;"-")-1),"_RGB.png"))),"https://us.pandora.net/on/demandware.static/-/Sites-pandora-master-catalog/default/dwbb259ca6/productimages/singlepackshot/598498C01_RGB.png")</f>
        <v>https://us.pandora.net/on/demandware.static/-/Sites-pandora-master-catalog/default/dwbb259ca6/productimages/singlepackshot/598498C01_RGB.png</v>
      </c>
    </row>
    <row r="2679" spans="1:4" x14ac:dyDescent="0.25">
      <c r="A2679" s="3" t="s">
        <v>2681</v>
      </c>
      <c r="B2679" s="4">
        <v>79</v>
      </c>
      <c r="C2679" s="3" t="str">
        <f ca="1">IFERROR(ROWSDUMMYFUNCTION(IF(A2679="","",IFERROR(IMAGE(CONCATENATE("https://us.pandora.net/on/demandware.static/-/Sites-pandora-master-catalog/default/dwbb259ca6/productimages/singlepackshot/",LEFT(A2679,FIND("-",A2679&amp;"-")-1),"_RGB.png")),""))),"{""url"":""https://us.pandora.net/on/demandware.static/-/Sites-pandora-master-catalog/default/dwbb259ca6/productimages/singlepackshot/598498C01_RGB.png"",""mode"":1}")</f>
        <v>{"url":"https://us.pandora.net/on/demandware.static/-/Sites-pandora-master-catalog/default/dwbb259ca6/productimages/singlepackshot/598498C01_RGB.png","mode":1}</v>
      </c>
      <c r="D2679" s="5" t="str">
        <f ca="1">IFERROR(ROWSDUMMYFUNCTION(IF(A2679="","",CONCATENATE("https://us.pandora.net/on/demandware.static/-/Sites-pandora-master-catalog/default/dwbb259ca6/productimages/singlepackshot/",LEFT(A2679,FIND("-",A2679&amp;"-")-1),"_RGB.png"))),"https://us.pandora.net/on/demandware.static/-/Sites-pandora-master-catalog/default/dwbb259ca6/productimages/singlepackshot/598498C01_RGB.png")</f>
        <v>https://us.pandora.net/on/demandware.static/-/Sites-pandora-master-catalog/default/dwbb259ca6/productimages/singlepackshot/598498C01_RGB.png</v>
      </c>
    </row>
    <row r="2680" spans="1:4" x14ac:dyDescent="0.25">
      <c r="A2680" s="3" t="s">
        <v>2682</v>
      </c>
      <c r="B2680" s="4">
        <v>59</v>
      </c>
      <c r="C2680" s="3" t="str">
        <f ca="1">IFERROR(ROWSDUMMYFUNCTION(IF(A2680="","",IFERROR(IMAGE(CONCATENATE("https://us.pandora.net/on/demandware.static/-/Sites-pandora-master-catalog/default/dwbb259ca6/productimages/singlepackshot/",LEFT(A2680,FIND("-",A2680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0" s="5" t="str">
        <f ca="1">IFERROR(ROWSDUMMYFUNCTION(IF(A2680="","",CONCATENATE("https://us.pandora.net/on/demandware.static/-/Sites-pandora-master-catalog/default/dwbb259ca6/productimages/singlepackshot/",LEFT(A2680,FIND("-",A2680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1" spans="1:4" x14ac:dyDescent="0.25">
      <c r="A2681" s="3" t="s">
        <v>2683</v>
      </c>
      <c r="B2681" s="4">
        <v>59</v>
      </c>
      <c r="C2681" s="3" t="str">
        <f ca="1">IFERROR(ROWSDUMMYFUNCTION(IF(A2681="","",IFERROR(IMAGE(CONCATENATE("https://us.pandora.net/on/demandware.static/-/Sites-pandora-master-catalog/default/dwbb259ca6/productimages/singlepackshot/",LEFT(A2681,FIND("-",A2681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1" s="5" t="str">
        <f ca="1">IFERROR(ROWSDUMMYFUNCTION(IF(A2681="","",CONCATENATE("https://us.pandora.net/on/demandware.static/-/Sites-pandora-master-catalog/default/dwbb259ca6/productimages/singlepackshot/",LEFT(A2681,FIND("-",A2681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2" spans="1:4" x14ac:dyDescent="0.25">
      <c r="A2682" s="3" t="s">
        <v>2684</v>
      </c>
      <c r="B2682" s="4">
        <v>59</v>
      </c>
      <c r="C2682" s="3" t="str">
        <f ca="1">IFERROR(ROWSDUMMYFUNCTION(IF(A2682="","",IFERROR(IMAGE(CONCATENATE("https://us.pandora.net/on/demandware.static/-/Sites-pandora-master-catalog/default/dwbb259ca6/productimages/singlepackshot/",LEFT(A2682,FIND("-",A2682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2" s="5" t="str">
        <f ca="1">IFERROR(ROWSDUMMYFUNCTION(IF(A2682="","",CONCATENATE("https://us.pandora.net/on/demandware.static/-/Sites-pandora-master-catalog/default/dwbb259ca6/productimages/singlepackshot/",LEFT(A2682,FIND("-",A2682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3" spans="1:4" x14ac:dyDescent="0.25">
      <c r="A2683" s="3" t="s">
        <v>2685</v>
      </c>
      <c r="B2683" s="4">
        <v>59</v>
      </c>
      <c r="C2683" s="3" t="str">
        <f ca="1">IFERROR(ROWSDUMMYFUNCTION(IF(A2683="","",IFERROR(IMAGE(CONCATENATE("https://us.pandora.net/on/demandware.static/-/Sites-pandora-master-catalog/default/dwbb259ca6/productimages/singlepackshot/",LEFT(A2683,FIND("-",A2683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3" s="5" t="str">
        <f ca="1">IFERROR(ROWSDUMMYFUNCTION(IF(A2683="","",CONCATENATE("https://us.pandora.net/on/demandware.static/-/Sites-pandora-master-catalog/default/dwbb259ca6/productimages/singlepackshot/",LEFT(A2683,FIND("-",A2683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4" spans="1:4" x14ac:dyDescent="0.25">
      <c r="A2684" s="3" t="s">
        <v>2686</v>
      </c>
      <c r="B2684" s="4">
        <v>59</v>
      </c>
      <c r="C2684" s="3" t="str">
        <f ca="1">IFERROR(ROWSDUMMYFUNCTION(IF(A2684="","",IFERROR(IMAGE(CONCATENATE("https://us.pandora.net/on/demandware.static/-/Sites-pandora-master-catalog/default/dwbb259ca6/productimages/singlepackshot/",LEFT(A2684,FIND("-",A2684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4" s="5" t="str">
        <f ca="1">IFERROR(ROWSDUMMYFUNCTION(IF(A2684="","",CONCATENATE("https://us.pandora.net/on/demandware.static/-/Sites-pandora-master-catalog/default/dwbb259ca6/productimages/singlepackshot/",LEFT(A2684,FIND("-",A2684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5" spans="1:4" x14ac:dyDescent="0.25">
      <c r="A2685" s="3" t="s">
        <v>2687</v>
      </c>
      <c r="B2685" s="4">
        <v>59</v>
      </c>
      <c r="C2685" s="3" t="str">
        <f ca="1">IFERROR(ROWSDUMMYFUNCTION(IF(A2685="","",IFERROR(IMAGE(CONCATENATE("https://us.pandora.net/on/demandware.static/-/Sites-pandora-master-catalog/default/dwbb259ca6/productimages/singlepackshot/",LEFT(A2685,FIND("-",A2685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5" s="5" t="str">
        <f ca="1">IFERROR(ROWSDUMMYFUNCTION(IF(A2685="","",CONCATENATE("https://us.pandora.net/on/demandware.static/-/Sites-pandora-master-catalog/default/dwbb259ca6/productimages/singlepackshot/",LEFT(A2685,FIND("-",A2685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6" spans="1:4" x14ac:dyDescent="0.25">
      <c r="A2686" s="3" t="s">
        <v>2688</v>
      </c>
      <c r="B2686" s="4">
        <v>59</v>
      </c>
      <c r="C2686" s="3" t="str">
        <f ca="1">IFERROR(ROWSDUMMYFUNCTION(IF(A2686="","",IFERROR(IMAGE(CONCATENATE("https://us.pandora.net/on/demandware.static/-/Sites-pandora-master-catalog/default/dwbb259ca6/productimages/singlepackshot/",LEFT(A2686,FIND("-",A2686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6" s="5" t="str">
        <f ca="1">IFERROR(ROWSDUMMYFUNCTION(IF(A2686="","",CONCATENATE("https://us.pandora.net/on/demandware.static/-/Sites-pandora-master-catalog/default/dwbb259ca6/productimages/singlepackshot/",LEFT(A2686,FIND("-",A2686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7" spans="1:4" x14ac:dyDescent="0.25">
      <c r="A2687" s="3" t="s">
        <v>2689</v>
      </c>
      <c r="B2687" s="4">
        <v>59</v>
      </c>
      <c r="C2687" s="3" t="str">
        <f ca="1">IFERROR(ROWSDUMMYFUNCTION(IF(A2687="","",IFERROR(IMAGE(CONCATENATE("https://us.pandora.net/on/demandware.static/-/Sites-pandora-master-catalog/default/dwbb259ca6/productimages/singlepackshot/",LEFT(A2687,FIND("-",A2687&amp;"-")-1),"_RGB.png")),""))),"{""url"":""https://us.pandora.net/on/demandware.static/-/Sites-pandora-master-catalog/default/dwbb259ca6/productimages/singlepackshot/598816C00_RGB.png"",""mode"":1}")</f>
        <v>{"url":"https://us.pandora.net/on/demandware.static/-/Sites-pandora-master-catalog/default/dwbb259ca6/productimages/singlepackshot/598816C00_RGB.png","mode":1}</v>
      </c>
      <c r="D2687" s="5" t="str">
        <f ca="1">IFERROR(ROWSDUMMYFUNCTION(IF(A2687="","",CONCATENATE("https://us.pandora.net/on/demandware.static/-/Sites-pandora-master-catalog/default/dwbb259ca6/productimages/singlepackshot/",LEFT(A2687,FIND("-",A2687&amp;"-")-1),"_RGB.png"))),"https://us.pandora.net/on/demandware.static/-/Sites-pandora-master-catalog/default/dwbb259ca6/productimages/singlepackshot/598816C00_RGB.png")</f>
        <v>https://us.pandora.net/on/demandware.static/-/Sites-pandora-master-catalog/default/dwbb259ca6/productimages/singlepackshot/598816C00_RGB.png</v>
      </c>
    </row>
    <row r="2688" spans="1:4" x14ac:dyDescent="0.25">
      <c r="A2688" s="3" t="s">
        <v>2690</v>
      </c>
      <c r="B2688" s="4">
        <v>69</v>
      </c>
      <c r="C2688" s="3" t="str">
        <f ca="1">IFERROR(ROWSDUMMYFUNCTION(IF(A2688="","",IFERROR(IMAGE(CONCATENATE("https://us.pandora.net/on/demandware.static/-/Sites-pandora-master-catalog/default/dwbb259ca6/productimages/singlepackshot/",LEFT(A2688,FIND("-",A2688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88" s="5" t="str">
        <f ca="1">IFERROR(ROWSDUMMYFUNCTION(IF(A2688="","",CONCATENATE("https://us.pandora.net/on/demandware.static/-/Sites-pandora-master-catalog/default/dwbb259ca6/productimages/singlepackshot/",LEFT(A2688,FIND("-",A2688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89" spans="1:4" x14ac:dyDescent="0.25">
      <c r="A2689" s="3" t="s">
        <v>2691</v>
      </c>
      <c r="B2689" s="4">
        <v>69</v>
      </c>
      <c r="C2689" s="3" t="str">
        <f ca="1">IFERROR(ROWSDUMMYFUNCTION(IF(A2689="","",IFERROR(IMAGE(CONCATENATE("https://us.pandora.net/on/demandware.static/-/Sites-pandora-master-catalog/default/dwbb259ca6/productimages/singlepackshot/",LEFT(A2689,FIND("-",A2689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89" s="5" t="str">
        <f ca="1">IFERROR(ROWSDUMMYFUNCTION(IF(A2689="","",CONCATENATE("https://us.pandora.net/on/demandware.static/-/Sites-pandora-master-catalog/default/dwbb259ca6/productimages/singlepackshot/",LEFT(A2689,FIND("-",A2689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90" spans="1:4" x14ac:dyDescent="0.25">
      <c r="A2690" s="3" t="s">
        <v>2692</v>
      </c>
      <c r="B2690" s="4">
        <v>69</v>
      </c>
      <c r="C2690" s="3" t="str">
        <f ca="1">IFERROR(ROWSDUMMYFUNCTION(IF(A2690="","",IFERROR(IMAGE(CONCATENATE("https://us.pandora.net/on/demandware.static/-/Sites-pandora-master-catalog/default/dwbb259ca6/productimages/singlepackshot/",LEFT(A2690,FIND("-",A2690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90" s="5" t="str">
        <f ca="1">IFERROR(ROWSDUMMYFUNCTION(IF(A2690="","",CONCATENATE("https://us.pandora.net/on/demandware.static/-/Sites-pandora-master-catalog/default/dwbb259ca6/productimages/singlepackshot/",LEFT(A2690,FIND("-",A2690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91" spans="1:4" x14ac:dyDescent="0.25">
      <c r="A2691" s="3" t="s">
        <v>2693</v>
      </c>
      <c r="B2691" s="4">
        <v>69</v>
      </c>
      <c r="C2691" s="3" t="str">
        <f ca="1">IFERROR(ROWSDUMMYFUNCTION(IF(A2691="","",IFERROR(IMAGE(CONCATENATE("https://us.pandora.net/on/demandware.static/-/Sites-pandora-master-catalog/default/dwbb259ca6/productimages/singlepackshot/",LEFT(A2691,FIND("-",A2691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91" s="5" t="str">
        <f ca="1">IFERROR(ROWSDUMMYFUNCTION(IF(A2691="","",CONCATENATE("https://us.pandora.net/on/demandware.static/-/Sites-pandora-master-catalog/default/dwbb259ca6/productimages/singlepackshot/",LEFT(A2691,FIND("-",A2691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92" spans="1:4" x14ac:dyDescent="0.25">
      <c r="A2692" s="3" t="s">
        <v>2694</v>
      </c>
      <c r="B2692" s="4">
        <v>69</v>
      </c>
      <c r="C2692" s="3" t="str">
        <f ca="1">IFERROR(ROWSDUMMYFUNCTION(IF(A2692="","",IFERROR(IMAGE(CONCATENATE("https://us.pandora.net/on/demandware.static/-/Sites-pandora-master-catalog/default/dwbb259ca6/productimages/singlepackshot/",LEFT(A2692,FIND("-",A2692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92" s="5" t="str">
        <f ca="1">IFERROR(ROWSDUMMYFUNCTION(IF(A2692="","",CONCATENATE("https://us.pandora.net/on/demandware.static/-/Sites-pandora-master-catalog/default/dwbb259ca6/productimages/singlepackshot/",LEFT(A2692,FIND("-",A2692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93" spans="1:4" x14ac:dyDescent="0.25">
      <c r="A2693" s="3" t="s">
        <v>2695</v>
      </c>
      <c r="B2693" s="4">
        <v>69</v>
      </c>
      <c r="C2693" s="3" t="str">
        <f ca="1">IFERROR(ROWSDUMMYFUNCTION(IF(A2693="","",IFERROR(IMAGE(CONCATENATE("https://us.pandora.net/on/demandware.static/-/Sites-pandora-master-catalog/default/dwbb259ca6/productimages/singlepackshot/",LEFT(A2693,FIND("-",A2693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93" s="5" t="str">
        <f ca="1">IFERROR(ROWSDUMMYFUNCTION(IF(A2693="","",CONCATENATE("https://us.pandora.net/on/demandware.static/-/Sites-pandora-master-catalog/default/dwbb259ca6/productimages/singlepackshot/",LEFT(A2693,FIND("-",A2693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94" spans="1:4" x14ac:dyDescent="0.25">
      <c r="A2694" s="3" t="s">
        <v>2696</v>
      </c>
      <c r="B2694" s="4">
        <v>69</v>
      </c>
      <c r="C2694" s="3" t="str">
        <f ca="1">IFERROR(ROWSDUMMYFUNCTION(IF(A2694="","",IFERROR(IMAGE(CONCATENATE("https://us.pandora.net/on/demandware.static/-/Sites-pandora-master-catalog/default/dwbb259ca6/productimages/singlepackshot/",LEFT(A2694,FIND("-",A2694&amp;"-")-1),"_RGB.png")),""))),"{""url"":""https://us.pandora.net/on/demandware.static/-/Sites-pandora-master-catalog/default/dwbb259ca6/productimages/singlepackshot/598827C01_RGB.png"",""mode"":1}")</f>
        <v>{"url":"https://us.pandora.net/on/demandware.static/-/Sites-pandora-master-catalog/default/dwbb259ca6/productimages/singlepackshot/598827C01_RGB.png","mode":1}</v>
      </c>
      <c r="D2694" s="5" t="str">
        <f ca="1">IFERROR(ROWSDUMMYFUNCTION(IF(A2694="","",CONCATENATE("https://us.pandora.net/on/demandware.static/-/Sites-pandora-master-catalog/default/dwbb259ca6/productimages/singlepackshot/",LEFT(A2694,FIND("-",A2694&amp;"-")-1),"_RGB.png"))),"https://us.pandora.net/on/demandware.static/-/Sites-pandora-master-catalog/default/dwbb259ca6/productimages/singlepackshot/598827C01_RGB.png")</f>
        <v>https://us.pandora.net/on/demandware.static/-/Sites-pandora-master-catalog/default/dwbb259ca6/productimages/singlepackshot/598827C01_RGB.png</v>
      </c>
    </row>
    <row r="2695" spans="1:4" x14ac:dyDescent="0.25">
      <c r="A2695" s="3" t="s">
        <v>2697</v>
      </c>
      <c r="B2695" s="4">
        <v>79</v>
      </c>
      <c r="C2695" s="3" t="str">
        <f ca="1">IFERROR(ROWSDUMMYFUNCTION(IF(A2695="","",IFERROR(IMAGE(CONCATENATE("https://us.pandora.net/on/demandware.static/-/Sites-pandora-master-catalog/default/dwbb259ca6/productimages/singlepackshot/",LEFT(A2695,FIND("-",A2695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695" s="5" t="str">
        <f ca="1">IFERROR(ROWSDUMMYFUNCTION(IF(A2695="","",CONCATENATE("https://us.pandora.net/on/demandware.static/-/Sites-pandora-master-catalog/default/dwbb259ca6/productimages/singlepackshot/",LEFT(A2695,FIND("-",A2695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696" spans="1:4" x14ac:dyDescent="0.25">
      <c r="A2696" s="3" t="s">
        <v>2698</v>
      </c>
      <c r="B2696" s="4">
        <v>79</v>
      </c>
      <c r="C2696" s="3" t="str">
        <f ca="1">IFERROR(ROWSDUMMYFUNCTION(IF(A2696="","",IFERROR(IMAGE(CONCATENATE("https://us.pandora.net/on/demandware.static/-/Sites-pandora-master-catalog/default/dwbb259ca6/productimages/singlepackshot/",LEFT(A2696,FIND("-",A2696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696" s="5" t="str">
        <f ca="1">IFERROR(ROWSDUMMYFUNCTION(IF(A2696="","",CONCATENATE("https://us.pandora.net/on/demandware.static/-/Sites-pandora-master-catalog/default/dwbb259ca6/productimages/singlepackshot/",LEFT(A2696,FIND("-",A2696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697" spans="1:4" x14ac:dyDescent="0.25">
      <c r="A2697" s="3" t="s">
        <v>2699</v>
      </c>
      <c r="B2697" s="4">
        <v>79</v>
      </c>
      <c r="C2697" s="3" t="str">
        <f ca="1">IFERROR(ROWSDUMMYFUNCTION(IF(A2697="","",IFERROR(IMAGE(CONCATENATE("https://us.pandora.net/on/demandware.static/-/Sites-pandora-master-catalog/default/dwbb259ca6/productimages/singlepackshot/",LEFT(A2697,FIND("-",A2697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697" s="5" t="str">
        <f ca="1">IFERROR(ROWSDUMMYFUNCTION(IF(A2697="","",CONCATENATE("https://us.pandora.net/on/demandware.static/-/Sites-pandora-master-catalog/default/dwbb259ca6/productimages/singlepackshot/",LEFT(A2697,FIND("-",A2697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698" spans="1:4" x14ac:dyDescent="0.25">
      <c r="A2698" s="3" t="s">
        <v>2700</v>
      </c>
      <c r="B2698" s="4">
        <v>79</v>
      </c>
      <c r="C2698" s="3" t="str">
        <f ca="1">IFERROR(ROWSDUMMYFUNCTION(IF(A2698="","",IFERROR(IMAGE(CONCATENATE("https://us.pandora.net/on/demandware.static/-/Sites-pandora-master-catalog/default/dwbb259ca6/productimages/singlepackshot/",LEFT(A2698,FIND("-",A2698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698" s="5" t="str">
        <f ca="1">IFERROR(ROWSDUMMYFUNCTION(IF(A2698="","",CONCATENATE("https://us.pandora.net/on/demandware.static/-/Sites-pandora-master-catalog/default/dwbb259ca6/productimages/singlepackshot/",LEFT(A2698,FIND("-",A2698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699" spans="1:4" x14ac:dyDescent="0.25">
      <c r="A2699" s="3" t="s">
        <v>2701</v>
      </c>
      <c r="B2699" s="4">
        <v>79</v>
      </c>
      <c r="C2699" s="3" t="str">
        <f ca="1">IFERROR(ROWSDUMMYFUNCTION(IF(A2699="","",IFERROR(IMAGE(CONCATENATE("https://us.pandora.net/on/demandware.static/-/Sites-pandora-master-catalog/default/dwbb259ca6/productimages/singlepackshot/",LEFT(A2699,FIND("-",A2699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699" s="5" t="str">
        <f ca="1">IFERROR(ROWSDUMMYFUNCTION(IF(A2699="","",CONCATENATE("https://us.pandora.net/on/demandware.static/-/Sites-pandora-master-catalog/default/dwbb259ca6/productimages/singlepackshot/",LEFT(A2699,FIND("-",A2699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700" spans="1:4" x14ac:dyDescent="0.25">
      <c r="A2700" s="3" t="s">
        <v>2702</v>
      </c>
      <c r="B2700" s="4">
        <v>79</v>
      </c>
      <c r="C2700" s="3" t="str">
        <f ca="1">IFERROR(ROWSDUMMYFUNCTION(IF(A2700="","",IFERROR(IMAGE(CONCATENATE("https://us.pandora.net/on/demandware.static/-/Sites-pandora-master-catalog/default/dwbb259ca6/productimages/singlepackshot/",LEFT(A2700,FIND("-",A2700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700" s="5" t="str">
        <f ca="1">IFERROR(ROWSDUMMYFUNCTION(IF(A2700="","",CONCATENATE("https://us.pandora.net/on/demandware.static/-/Sites-pandora-master-catalog/default/dwbb259ca6/productimages/singlepackshot/",LEFT(A2700,FIND("-",A2700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701" spans="1:4" x14ac:dyDescent="0.25">
      <c r="A2701" s="3" t="s">
        <v>2703</v>
      </c>
      <c r="B2701" s="4">
        <v>79</v>
      </c>
      <c r="C2701" s="3" t="str">
        <f ca="1">IFERROR(ROWSDUMMYFUNCTION(IF(A2701="","",IFERROR(IMAGE(CONCATENATE("https://us.pandora.net/on/demandware.static/-/Sites-pandora-master-catalog/default/dwbb259ca6/productimages/singlepackshot/",LEFT(A2701,FIND("-",A2701&amp;"-")-1),"_RGB.png")),""))),"{""url"":""https://us.pandora.net/on/demandware.static/-/Sites-pandora-master-catalog/default/dwbb259ca6/productimages/singlepackshot/599046C01_RGB.png"",""mode"":1}")</f>
        <v>{"url":"https://us.pandora.net/on/demandware.static/-/Sites-pandora-master-catalog/default/dwbb259ca6/productimages/singlepackshot/599046C01_RGB.png","mode":1}</v>
      </c>
      <c r="D2701" s="5" t="str">
        <f ca="1">IFERROR(ROWSDUMMYFUNCTION(IF(A2701="","",CONCATENATE("https://us.pandora.net/on/demandware.static/-/Sites-pandora-master-catalog/default/dwbb259ca6/productimages/singlepackshot/",LEFT(A2701,FIND("-",A2701&amp;"-")-1),"_RGB.png"))),"https://us.pandora.net/on/demandware.static/-/Sites-pandora-master-catalog/default/dwbb259ca6/productimages/singlepackshot/599046C01_RGB.png")</f>
        <v>https://us.pandora.net/on/demandware.static/-/Sites-pandora-master-catalog/default/dwbb259ca6/productimages/singlepackshot/599046C01_RGB.png</v>
      </c>
    </row>
    <row r="2702" spans="1:4" x14ac:dyDescent="0.25">
      <c r="A2702" s="3" t="s">
        <v>2704</v>
      </c>
      <c r="B2702" s="4">
        <v>99</v>
      </c>
      <c r="C2702" s="3" t="str">
        <f ca="1">IFERROR(ROWSDUMMYFUNCTION(IF(A2702="","",IFERROR(IMAGE(CONCATENATE("https://us.pandora.net/on/demandware.static/-/Sites-pandora-master-catalog/default/dwbb259ca6/productimages/singlepackshot/",LEFT(A2702,FIND("-",A2702&amp;"-")-1),"_RGB.png")),""))),"{""url"":""https://us.pandora.net/on/demandware.static/-/Sites-pandora-master-catalog/default/dwbb259ca6/productimages/singlepackshot/599190C01_RGB.png"",""mode"":1}")</f>
        <v>{"url":"https://us.pandora.net/on/demandware.static/-/Sites-pandora-master-catalog/default/dwbb259ca6/productimages/singlepackshot/599190C01_RGB.png","mode":1}</v>
      </c>
      <c r="D2702" s="5" t="str">
        <f ca="1">IFERROR(ROWSDUMMYFUNCTION(IF(A2702="","",CONCATENATE("https://us.pandora.net/on/demandware.static/-/Sites-pandora-master-catalog/default/dwbb259ca6/productimages/singlepackshot/",LEFT(A2702,FIND("-",A2702&amp;"-")-1),"_RGB.png"))),"https://us.pandora.net/on/demandware.static/-/Sites-pandora-master-catalog/default/dwbb259ca6/productimages/singlepackshot/599190C01_RGB.png")</f>
        <v>https://us.pandora.net/on/demandware.static/-/Sites-pandora-master-catalog/default/dwbb259ca6/productimages/singlepackshot/599190C01_RGB.png</v>
      </c>
    </row>
    <row r="2703" spans="1:4" x14ac:dyDescent="0.25">
      <c r="A2703" s="3" t="s">
        <v>2705</v>
      </c>
      <c r="B2703" s="4">
        <v>99</v>
      </c>
      <c r="C2703" s="3" t="str">
        <f ca="1">IFERROR(ROWSDUMMYFUNCTION(IF(A2703="","",IFERROR(IMAGE(CONCATENATE("https://us.pandora.net/on/demandware.static/-/Sites-pandora-master-catalog/default/dwbb259ca6/productimages/singlepackshot/",LEFT(A2703,FIND("-",A2703&amp;"-")-1),"_RGB.png")),""))),"{""url"":""https://us.pandora.net/on/demandware.static/-/Sites-pandora-master-catalog/default/dwbb259ca6/productimages/singlepackshot/599190C01_RGB.png"",""mode"":1}")</f>
        <v>{"url":"https://us.pandora.net/on/demandware.static/-/Sites-pandora-master-catalog/default/dwbb259ca6/productimages/singlepackshot/599190C01_RGB.png","mode":1}</v>
      </c>
      <c r="D2703" s="5" t="str">
        <f ca="1">IFERROR(ROWSDUMMYFUNCTION(IF(A2703="","",CONCATENATE("https://us.pandora.net/on/demandware.static/-/Sites-pandora-master-catalog/default/dwbb259ca6/productimages/singlepackshot/",LEFT(A2703,FIND("-",A2703&amp;"-")-1),"_RGB.png"))),"https://us.pandora.net/on/demandware.static/-/Sites-pandora-master-catalog/default/dwbb259ca6/productimages/singlepackshot/599190C01_RGB.png")</f>
        <v>https://us.pandora.net/on/demandware.static/-/Sites-pandora-master-catalog/default/dwbb259ca6/productimages/singlepackshot/599190C01_RGB.png</v>
      </c>
    </row>
    <row r="2704" spans="1:4" x14ac:dyDescent="0.25">
      <c r="A2704" s="3" t="s">
        <v>2706</v>
      </c>
      <c r="B2704" s="4">
        <v>99</v>
      </c>
      <c r="C2704" s="3" t="str">
        <f ca="1">IFERROR(ROWSDUMMYFUNCTION(IF(A2704="","",IFERROR(IMAGE(CONCATENATE("https://us.pandora.net/on/demandware.static/-/Sites-pandora-master-catalog/default/dwbb259ca6/productimages/singlepackshot/",LEFT(A2704,FIND("-",A2704&amp;"-")-1),"_RGB.png")),""))),"{""url"":""https://us.pandora.net/on/demandware.static/-/Sites-pandora-master-catalog/default/dwbb259ca6/productimages/singlepackshot/599190C01_RGB.png"",""mode"":1}")</f>
        <v>{"url":"https://us.pandora.net/on/demandware.static/-/Sites-pandora-master-catalog/default/dwbb259ca6/productimages/singlepackshot/599190C01_RGB.png","mode":1}</v>
      </c>
      <c r="D2704" s="5" t="str">
        <f ca="1">IFERROR(ROWSDUMMYFUNCTION(IF(A2704="","",CONCATENATE("https://us.pandora.net/on/demandware.static/-/Sites-pandora-master-catalog/default/dwbb259ca6/productimages/singlepackshot/",LEFT(A2704,FIND("-",A2704&amp;"-")-1),"_RGB.png"))),"https://us.pandora.net/on/demandware.static/-/Sites-pandora-master-catalog/default/dwbb259ca6/productimages/singlepackshot/599190C01_RGB.png")</f>
        <v>https://us.pandora.net/on/demandware.static/-/Sites-pandora-master-catalog/default/dwbb259ca6/productimages/singlepackshot/599190C01_RGB.png</v>
      </c>
    </row>
    <row r="2705" spans="1:4" x14ac:dyDescent="0.25">
      <c r="A2705" s="3" t="s">
        <v>2707</v>
      </c>
      <c r="B2705" s="4">
        <v>99</v>
      </c>
      <c r="C2705" s="3" t="str">
        <f ca="1">IFERROR(ROWSDUMMYFUNCTION(IF(A2705="","",IFERROR(IMAGE(CONCATENATE("https://us.pandora.net/on/demandware.static/-/Sites-pandora-master-catalog/default/dwbb259ca6/productimages/singlepackshot/",LEFT(A2705,FIND("-",A2705&amp;"-")-1),"_RGB.png")),""))),"{""url"":""https://us.pandora.net/on/demandware.static/-/Sites-pandora-master-catalog/default/dwbb259ca6/productimages/singlepackshot/599190C01_RGB.png"",""mode"":1}")</f>
        <v>{"url":"https://us.pandora.net/on/demandware.static/-/Sites-pandora-master-catalog/default/dwbb259ca6/productimages/singlepackshot/599190C01_RGB.png","mode":1}</v>
      </c>
      <c r="D2705" s="5" t="str">
        <f ca="1">IFERROR(ROWSDUMMYFUNCTION(IF(A2705="","",CONCATENATE("https://us.pandora.net/on/demandware.static/-/Sites-pandora-master-catalog/default/dwbb259ca6/productimages/singlepackshot/",LEFT(A2705,FIND("-",A2705&amp;"-")-1),"_RGB.png"))),"https://us.pandora.net/on/demandware.static/-/Sites-pandora-master-catalog/default/dwbb259ca6/productimages/singlepackshot/599190C01_RGB.png")</f>
        <v>https://us.pandora.net/on/demandware.static/-/Sites-pandora-master-catalog/default/dwbb259ca6/productimages/singlepackshot/599190C01_RGB.png</v>
      </c>
    </row>
    <row r="2706" spans="1:4" x14ac:dyDescent="0.25">
      <c r="A2706" s="3" t="s">
        <v>2708</v>
      </c>
      <c r="B2706" s="4">
        <v>99</v>
      </c>
      <c r="C2706" s="3" t="str">
        <f ca="1">IFERROR(ROWSDUMMYFUNCTION(IF(A2706="","",IFERROR(IMAGE(CONCATENATE("https://us.pandora.net/on/demandware.static/-/Sites-pandora-master-catalog/default/dwbb259ca6/productimages/singlepackshot/",LEFT(A2706,FIND("-",A2706&amp;"-")-1),"_RGB.png")),""))),"{""url"":""https://us.pandora.net/on/demandware.static/-/Sites-pandora-master-catalog/default/dwbb259ca6/productimages/singlepackshot/599190C01_RGB.png"",""mode"":1}")</f>
        <v>{"url":"https://us.pandora.net/on/demandware.static/-/Sites-pandora-master-catalog/default/dwbb259ca6/productimages/singlepackshot/599190C01_RGB.png","mode":1}</v>
      </c>
      <c r="D2706" s="5" t="str">
        <f ca="1">IFERROR(ROWSDUMMYFUNCTION(IF(A2706="","",CONCATENATE("https://us.pandora.net/on/demandware.static/-/Sites-pandora-master-catalog/default/dwbb259ca6/productimages/singlepackshot/",LEFT(A2706,FIND("-",A2706&amp;"-")-1),"_RGB.png"))),"https://us.pandora.net/on/demandware.static/-/Sites-pandora-master-catalog/default/dwbb259ca6/productimages/singlepackshot/599190C01_RGB.png")</f>
        <v>https://us.pandora.net/on/demandware.static/-/Sites-pandora-master-catalog/default/dwbb259ca6/productimages/singlepackshot/599190C01_RGB.png</v>
      </c>
    </row>
    <row r="2707" spans="1:4" x14ac:dyDescent="0.25">
      <c r="A2707" s="3" t="s">
        <v>2709</v>
      </c>
      <c r="B2707" s="4">
        <v>99</v>
      </c>
      <c r="C2707" s="3" t="str">
        <f ca="1">IFERROR(ROWSDUMMYFUNCTION(IF(A2707="","",IFERROR(IMAGE(CONCATENATE("https://us.pandora.net/on/demandware.static/-/Sites-pandora-master-catalog/default/dwbb259ca6/productimages/singlepackshot/",LEFT(A2707,FIND("-",A2707&amp;"-")-1),"_RGB.png")),""))),"{""url"":""https://us.pandora.net/on/demandware.static/-/Sites-pandora-master-catalog/default/dwbb259ca6/productimages/singlepackshot/599190C01_RGB.png"",""mode"":1}")</f>
        <v>{"url":"https://us.pandora.net/on/demandware.static/-/Sites-pandora-master-catalog/default/dwbb259ca6/productimages/singlepackshot/599190C01_RGB.png","mode":1}</v>
      </c>
      <c r="D2707" s="5" t="str">
        <f ca="1">IFERROR(ROWSDUMMYFUNCTION(IF(A2707="","",CONCATENATE("https://us.pandora.net/on/demandware.static/-/Sites-pandora-master-catalog/default/dwbb259ca6/productimages/singlepackshot/",LEFT(A2707,FIND("-",A2707&amp;"-")-1),"_RGB.png"))),"https://us.pandora.net/on/demandware.static/-/Sites-pandora-master-catalog/default/dwbb259ca6/productimages/singlepackshot/599190C01_RGB.png")</f>
        <v>https://us.pandora.net/on/demandware.static/-/Sites-pandora-master-catalog/default/dwbb259ca6/productimages/singlepackshot/599190C01_RGB.png</v>
      </c>
    </row>
    <row r="2708" spans="1:4" x14ac:dyDescent="0.25">
      <c r="A2708" s="3" t="s">
        <v>2710</v>
      </c>
      <c r="B2708" s="4">
        <v>59</v>
      </c>
      <c r="C2708" s="3" t="str">
        <f ca="1">IFERROR(ROWSDUMMYFUNCTION(IF(A2708="","",IFERROR(IMAGE(CONCATENATE("https://us.pandora.net/on/demandware.static/-/Sites-pandora-master-catalog/default/dwbb259ca6/productimages/singlepackshot/",LEFT(A2708,FIND("-",A2708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08" s="5" t="str">
        <f ca="1">IFERROR(ROWSDUMMYFUNCTION(IF(A2708="","",CONCATENATE("https://us.pandora.net/on/demandware.static/-/Sites-pandora-master-catalog/default/dwbb259ca6/productimages/singlepackshot/",LEFT(A2708,FIND("-",A2708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09" spans="1:4" x14ac:dyDescent="0.25">
      <c r="A2709" s="3" t="s">
        <v>2711</v>
      </c>
      <c r="B2709" s="4">
        <v>59</v>
      </c>
      <c r="C2709" s="3" t="str">
        <f ca="1">IFERROR(ROWSDUMMYFUNCTION(IF(A2709="","",IFERROR(IMAGE(CONCATENATE("https://us.pandora.net/on/demandware.static/-/Sites-pandora-master-catalog/default/dwbb259ca6/productimages/singlepackshot/",LEFT(A2709,FIND("-",A2709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09" s="5" t="str">
        <f ca="1">IFERROR(ROWSDUMMYFUNCTION(IF(A2709="","",CONCATENATE("https://us.pandora.net/on/demandware.static/-/Sites-pandora-master-catalog/default/dwbb259ca6/productimages/singlepackshot/",LEFT(A2709,FIND("-",A2709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10" spans="1:4" x14ac:dyDescent="0.25">
      <c r="A2710" s="3" t="s">
        <v>2712</v>
      </c>
      <c r="B2710" s="4">
        <v>59</v>
      </c>
      <c r="C2710" s="3" t="str">
        <f ca="1">IFERROR(ROWSDUMMYFUNCTION(IF(A2710="","",IFERROR(IMAGE(CONCATENATE("https://us.pandora.net/on/demandware.static/-/Sites-pandora-master-catalog/default/dwbb259ca6/productimages/singlepackshot/",LEFT(A2710,FIND("-",A2710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10" s="5" t="str">
        <f ca="1">IFERROR(ROWSDUMMYFUNCTION(IF(A2710="","",CONCATENATE("https://us.pandora.net/on/demandware.static/-/Sites-pandora-master-catalog/default/dwbb259ca6/productimages/singlepackshot/",LEFT(A2710,FIND("-",A2710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11" spans="1:4" x14ac:dyDescent="0.25">
      <c r="A2711" s="3" t="s">
        <v>2713</v>
      </c>
      <c r="B2711" s="4">
        <v>59</v>
      </c>
      <c r="C2711" s="3" t="str">
        <f ca="1">IFERROR(ROWSDUMMYFUNCTION(IF(A2711="","",IFERROR(IMAGE(CONCATENATE("https://us.pandora.net/on/demandware.static/-/Sites-pandora-master-catalog/default/dwbb259ca6/productimages/singlepackshot/",LEFT(A2711,FIND("-",A2711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11" s="5" t="str">
        <f ca="1">IFERROR(ROWSDUMMYFUNCTION(IF(A2711="","",CONCATENATE("https://us.pandora.net/on/demandware.static/-/Sites-pandora-master-catalog/default/dwbb259ca6/productimages/singlepackshot/",LEFT(A2711,FIND("-",A2711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12" spans="1:4" x14ac:dyDescent="0.25">
      <c r="A2712" s="3" t="s">
        <v>2714</v>
      </c>
      <c r="B2712" s="4">
        <v>59</v>
      </c>
      <c r="C2712" s="3" t="str">
        <f ca="1">IFERROR(ROWSDUMMYFUNCTION(IF(A2712="","",IFERROR(IMAGE(CONCATENATE("https://us.pandora.net/on/demandware.static/-/Sites-pandora-master-catalog/default/dwbb259ca6/productimages/singlepackshot/",LEFT(A2712,FIND("-",A2712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12" s="5" t="str">
        <f ca="1">IFERROR(ROWSDUMMYFUNCTION(IF(A2712="","",CONCATENATE("https://us.pandora.net/on/demandware.static/-/Sites-pandora-master-catalog/default/dwbb259ca6/productimages/singlepackshot/",LEFT(A2712,FIND("-",A2712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13" spans="1:4" x14ac:dyDescent="0.25">
      <c r="A2713" s="3" t="s">
        <v>2715</v>
      </c>
      <c r="B2713" s="4">
        <v>59</v>
      </c>
      <c r="C2713" s="3" t="str">
        <f ca="1">IFERROR(ROWSDUMMYFUNCTION(IF(A2713="","",IFERROR(IMAGE(CONCATENATE("https://us.pandora.net/on/demandware.static/-/Sites-pandora-master-catalog/default/dwbb259ca6/productimages/singlepackshot/",LEFT(A2713,FIND("-",A2713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13" s="5" t="str">
        <f ca="1">IFERROR(ROWSDUMMYFUNCTION(IF(A2713="","",CONCATENATE("https://us.pandora.net/on/demandware.static/-/Sites-pandora-master-catalog/default/dwbb259ca6/productimages/singlepackshot/",LEFT(A2713,FIND("-",A2713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14" spans="1:4" x14ac:dyDescent="0.25">
      <c r="A2714" s="3" t="s">
        <v>2716</v>
      </c>
      <c r="B2714" s="4">
        <v>59</v>
      </c>
      <c r="C2714" s="3" t="str">
        <f ca="1">IFERROR(ROWSDUMMYFUNCTION(IF(A2714="","",IFERROR(IMAGE(CONCATENATE("https://us.pandora.net/on/demandware.static/-/Sites-pandora-master-catalog/default/dwbb259ca6/productimages/singlepackshot/",LEFT(A2714,FIND("-",A2714&amp;"-")-1),"_RGB.png")),""))),"{""url"":""https://us.pandora.net/on/demandware.static/-/Sites-pandora-master-catalog/default/dwbb259ca6/productimages/singlepackshot/599206C00_RGB.png"",""mode"":1}")</f>
        <v>{"url":"https://us.pandora.net/on/demandware.static/-/Sites-pandora-master-catalog/default/dwbb259ca6/productimages/singlepackshot/599206C00_RGB.png","mode":1}</v>
      </c>
      <c r="D2714" s="5" t="str">
        <f ca="1">IFERROR(ROWSDUMMYFUNCTION(IF(A2714="","",CONCATENATE("https://us.pandora.net/on/demandware.static/-/Sites-pandora-master-catalog/default/dwbb259ca6/productimages/singlepackshot/",LEFT(A2714,FIND("-",A2714&amp;"-")-1),"_RGB.png"))),"https://us.pandora.net/on/demandware.static/-/Sites-pandora-master-catalog/default/dwbb259ca6/productimages/singlepackshot/599206C00_RGB.png")</f>
        <v>https://us.pandora.net/on/demandware.static/-/Sites-pandora-master-catalog/default/dwbb259ca6/productimages/singlepackshot/599206C00_RGB.png</v>
      </c>
    </row>
    <row r="2715" spans="1:4" x14ac:dyDescent="0.25">
      <c r="A2715" s="3" t="s">
        <v>2717</v>
      </c>
      <c r="B2715" s="4">
        <v>69</v>
      </c>
      <c r="C2715" s="3" t="str">
        <f ca="1">IFERROR(ROWSDUMMYFUNCTION(IF(A2715="","",IFERROR(IMAGE(CONCATENATE("https://us.pandora.net/on/demandware.static/-/Sites-pandora-master-catalog/default/dwbb259ca6/productimages/singlepackshot/",LEFT(A2715,FIND("-",A2715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15" s="5" t="str">
        <f ca="1">IFERROR(ROWSDUMMYFUNCTION(IF(A2715="","",CONCATENATE("https://us.pandora.net/on/demandware.static/-/Sites-pandora-master-catalog/default/dwbb259ca6/productimages/singlepackshot/",LEFT(A2715,FIND("-",A2715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16" spans="1:4" x14ac:dyDescent="0.25">
      <c r="A2716" s="3" t="s">
        <v>2718</v>
      </c>
      <c r="B2716" s="4">
        <v>69</v>
      </c>
      <c r="C2716" s="3" t="str">
        <f ca="1">IFERROR(ROWSDUMMYFUNCTION(IF(A2716="","",IFERROR(IMAGE(CONCATENATE("https://us.pandora.net/on/demandware.static/-/Sites-pandora-master-catalog/default/dwbb259ca6/productimages/singlepackshot/",LEFT(A2716,FIND("-",A2716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16" s="5" t="str">
        <f ca="1">IFERROR(ROWSDUMMYFUNCTION(IF(A2716="","",CONCATENATE("https://us.pandora.net/on/demandware.static/-/Sites-pandora-master-catalog/default/dwbb259ca6/productimages/singlepackshot/",LEFT(A2716,FIND("-",A2716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17" spans="1:4" x14ac:dyDescent="0.25">
      <c r="A2717" s="3" t="s">
        <v>2719</v>
      </c>
      <c r="B2717" s="4">
        <v>69</v>
      </c>
      <c r="C2717" s="3" t="str">
        <f ca="1">IFERROR(ROWSDUMMYFUNCTION(IF(A2717="","",IFERROR(IMAGE(CONCATENATE("https://us.pandora.net/on/demandware.static/-/Sites-pandora-master-catalog/default/dwbb259ca6/productimages/singlepackshot/",LEFT(A2717,FIND("-",A2717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17" s="5" t="str">
        <f ca="1">IFERROR(ROWSDUMMYFUNCTION(IF(A2717="","",CONCATENATE("https://us.pandora.net/on/demandware.static/-/Sites-pandora-master-catalog/default/dwbb259ca6/productimages/singlepackshot/",LEFT(A2717,FIND("-",A2717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18" spans="1:4" x14ac:dyDescent="0.25">
      <c r="A2718" s="3" t="s">
        <v>2720</v>
      </c>
      <c r="B2718" s="4">
        <v>69</v>
      </c>
      <c r="C2718" s="3" t="str">
        <f ca="1">IFERROR(ROWSDUMMYFUNCTION(IF(A2718="","",IFERROR(IMAGE(CONCATENATE("https://us.pandora.net/on/demandware.static/-/Sites-pandora-master-catalog/default/dwbb259ca6/productimages/singlepackshot/",LEFT(A2718,FIND("-",A2718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18" s="5" t="str">
        <f ca="1">IFERROR(ROWSDUMMYFUNCTION(IF(A2718="","",CONCATENATE("https://us.pandora.net/on/demandware.static/-/Sites-pandora-master-catalog/default/dwbb259ca6/productimages/singlepackshot/",LEFT(A2718,FIND("-",A2718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19" spans="1:4" x14ac:dyDescent="0.25">
      <c r="A2719" s="3" t="s">
        <v>2721</v>
      </c>
      <c r="B2719" s="4">
        <v>69</v>
      </c>
      <c r="C2719" s="3" t="str">
        <f ca="1">IFERROR(ROWSDUMMYFUNCTION(IF(A2719="","",IFERROR(IMAGE(CONCATENATE("https://us.pandora.net/on/demandware.static/-/Sites-pandora-master-catalog/default/dwbb259ca6/productimages/singlepackshot/",LEFT(A2719,FIND("-",A2719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19" s="5" t="str">
        <f ca="1">IFERROR(ROWSDUMMYFUNCTION(IF(A2719="","",CONCATENATE("https://us.pandora.net/on/demandware.static/-/Sites-pandora-master-catalog/default/dwbb259ca6/productimages/singlepackshot/",LEFT(A2719,FIND("-",A2719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20" spans="1:4" x14ac:dyDescent="0.25">
      <c r="A2720" s="3" t="s">
        <v>2722</v>
      </c>
      <c r="B2720" s="4">
        <v>69</v>
      </c>
      <c r="C2720" s="3" t="str">
        <f ca="1">IFERROR(ROWSDUMMYFUNCTION(IF(A2720="","",IFERROR(IMAGE(CONCATENATE("https://us.pandora.net/on/demandware.static/-/Sites-pandora-master-catalog/default/dwbb259ca6/productimages/singlepackshot/",LEFT(A2720,FIND("-",A2720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20" s="5" t="str">
        <f ca="1">IFERROR(ROWSDUMMYFUNCTION(IF(A2720="","",CONCATENATE("https://us.pandora.net/on/demandware.static/-/Sites-pandora-master-catalog/default/dwbb259ca6/productimages/singlepackshot/",LEFT(A2720,FIND("-",A2720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21" spans="1:4" x14ac:dyDescent="0.25">
      <c r="A2721" s="3" t="s">
        <v>2723</v>
      </c>
      <c r="B2721" s="4">
        <v>69</v>
      </c>
      <c r="C2721" s="3" t="str">
        <f ca="1">IFERROR(ROWSDUMMYFUNCTION(IF(A2721="","",IFERROR(IMAGE(CONCATENATE("https://us.pandora.net/on/demandware.static/-/Sites-pandora-master-catalog/default/dwbb259ca6/productimages/singlepackshot/",LEFT(A2721,FIND("-",A2721&amp;"-")-1),"_RGB.png")),""))),"{""url"":""https://us.pandora.net/on/demandware.static/-/Sites-pandora-master-catalog/default/dwbb259ca6/productimages/singlepackshot/599285C00_RGB.png"",""mode"":1}")</f>
        <v>{"url":"https://us.pandora.net/on/demandware.static/-/Sites-pandora-master-catalog/default/dwbb259ca6/productimages/singlepackshot/599285C00_RGB.png","mode":1}</v>
      </c>
      <c r="D2721" s="5" t="str">
        <f ca="1">IFERROR(ROWSDUMMYFUNCTION(IF(A2721="","",CONCATENATE("https://us.pandora.net/on/demandware.static/-/Sites-pandora-master-catalog/default/dwbb259ca6/productimages/singlepackshot/",LEFT(A2721,FIND("-",A2721&amp;"-")-1),"_RGB.png"))),"https://us.pandora.net/on/demandware.static/-/Sites-pandora-master-catalog/default/dwbb259ca6/productimages/singlepackshot/599285C00_RGB.png")</f>
        <v>https://us.pandora.net/on/demandware.static/-/Sites-pandora-master-catalog/default/dwbb259ca6/productimages/singlepackshot/599285C00_RGB.png</v>
      </c>
    </row>
    <row r="2722" spans="1:4" x14ac:dyDescent="0.25">
      <c r="A2722" s="3" t="s">
        <v>2724</v>
      </c>
      <c r="B2722" s="4">
        <v>79</v>
      </c>
      <c r="C2722" s="3" t="str">
        <f ca="1">IFERROR(ROWSDUMMYFUNCTION(IF(A2722="","",IFERROR(IMAGE(CONCATENATE("https://us.pandora.net/on/demandware.static/-/Sites-pandora-master-catalog/default/dwbb259ca6/productimages/singlepackshot/",LEFT(A2722,FIND("-",A2722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2" s="5" t="str">
        <f ca="1">IFERROR(ROWSDUMMYFUNCTION(IF(A2722="","",CONCATENATE("https://us.pandora.net/on/demandware.static/-/Sites-pandora-master-catalog/default/dwbb259ca6/productimages/singlepackshot/",LEFT(A2722,FIND("-",A2722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3" spans="1:4" x14ac:dyDescent="0.25">
      <c r="A2723" s="3" t="s">
        <v>2725</v>
      </c>
      <c r="B2723" s="4">
        <v>79</v>
      </c>
      <c r="C2723" s="3" t="str">
        <f ca="1">IFERROR(ROWSDUMMYFUNCTION(IF(A2723="","",IFERROR(IMAGE(CONCATENATE("https://us.pandora.net/on/demandware.static/-/Sites-pandora-master-catalog/default/dwbb259ca6/productimages/singlepackshot/",LEFT(A2723,FIND("-",A2723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3" s="5" t="str">
        <f ca="1">IFERROR(ROWSDUMMYFUNCTION(IF(A2723="","",CONCATENATE("https://us.pandora.net/on/demandware.static/-/Sites-pandora-master-catalog/default/dwbb259ca6/productimages/singlepackshot/",LEFT(A2723,FIND("-",A2723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4" spans="1:4" x14ac:dyDescent="0.25">
      <c r="A2724" s="3" t="s">
        <v>2726</v>
      </c>
      <c r="B2724" s="4">
        <v>79</v>
      </c>
      <c r="C2724" s="3" t="str">
        <f ca="1">IFERROR(ROWSDUMMYFUNCTION(IF(A2724="","",IFERROR(IMAGE(CONCATENATE("https://us.pandora.net/on/demandware.static/-/Sites-pandora-master-catalog/default/dwbb259ca6/productimages/singlepackshot/",LEFT(A2724,FIND("-",A2724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4" s="5" t="str">
        <f ca="1">IFERROR(ROWSDUMMYFUNCTION(IF(A2724="","",CONCATENATE("https://us.pandora.net/on/demandware.static/-/Sites-pandora-master-catalog/default/dwbb259ca6/productimages/singlepackshot/",LEFT(A2724,FIND("-",A2724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5" spans="1:4" x14ac:dyDescent="0.25">
      <c r="A2725" s="3" t="s">
        <v>2727</v>
      </c>
      <c r="B2725" s="4">
        <v>79</v>
      </c>
      <c r="C2725" s="3" t="str">
        <f ca="1">IFERROR(ROWSDUMMYFUNCTION(IF(A2725="","",IFERROR(IMAGE(CONCATENATE("https://us.pandora.net/on/demandware.static/-/Sites-pandora-master-catalog/default/dwbb259ca6/productimages/singlepackshot/",LEFT(A2725,FIND("-",A2725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5" s="5" t="str">
        <f ca="1">IFERROR(ROWSDUMMYFUNCTION(IF(A2725="","",CONCATENATE("https://us.pandora.net/on/demandware.static/-/Sites-pandora-master-catalog/default/dwbb259ca6/productimages/singlepackshot/",LEFT(A2725,FIND("-",A2725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6" spans="1:4" x14ac:dyDescent="0.25">
      <c r="A2726" s="3" t="s">
        <v>2728</v>
      </c>
      <c r="B2726" s="4">
        <v>79</v>
      </c>
      <c r="C2726" s="3" t="str">
        <f ca="1">IFERROR(ROWSDUMMYFUNCTION(IF(A2726="","",IFERROR(IMAGE(CONCATENATE("https://us.pandora.net/on/demandware.static/-/Sites-pandora-master-catalog/default/dwbb259ca6/productimages/singlepackshot/",LEFT(A2726,FIND("-",A2726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6" s="5" t="str">
        <f ca="1">IFERROR(ROWSDUMMYFUNCTION(IF(A2726="","",CONCATENATE("https://us.pandora.net/on/demandware.static/-/Sites-pandora-master-catalog/default/dwbb259ca6/productimages/singlepackshot/",LEFT(A2726,FIND("-",A2726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7" spans="1:4" x14ac:dyDescent="0.25">
      <c r="A2727" s="3" t="s">
        <v>2729</v>
      </c>
      <c r="B2727" s="4">
        <v>79</v>
      </c>
      <c r="C2727" s="3" t="str">
        <f ca="1">IFERROR(ROWSDUMMYFUNCTION(IF(A2727="","",IFERROR(IMAGE(CONCATENATE("https://us.pandora.net/on/demandware.static/-/Sites-pandora-master-catalog/default/dwbb259ca6/productimages/singlepackshot/",LEFT(A2727,FIND("-",A2727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7" s="5" t="str">
        <f ca="1">IFERROR(ROWSDUMMYFUNCTION(IF(A2727="","",CONCATENATE("https://us.pandora.net/on/demandware.static/-/Sites-pandora-master-catalog/default/dwbb259ca6/productimages/singlepackshot/",LEFT(A2727,FIND("-",A2727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8" spans="1:4" x14ac:dyDescent="0.25">
      <c r="A2728" s="3" t="s">
        <v>2730</v>
      </c>
      <c r="B2728" s="4">
        <v>79</v>
      </c>
      <c r="C2728" s="3" t="str">
        <f ca="1">IFERROR(ROWSDUMMYFUNCTION(IF(A2728="","",IFERROR(IMAGE(CONCATENATE("https://us.pandora.net/on/demandware.static/-/Sites-pandora-master-catalog/default/dwbb259ca6/productimages/singlepackshot/",LEFT(A2728,FIND("-",A2728&amp;"-")-1),"_RGB.png")),""))),"{""url"":""https://us.pandora.net/on/demandware.static/-/Sites-pandora-master-catalog/default/dwbb259ca6/productimages/singlepackshot/599288C01_RGB.png"",""mode"":1}")</f>
        <v>{"url":"https://us.pandora.net/on/demandware.static/-/Sites-pandora-master-catalog/default/dwbb259ca6/productimages/singlepackshot/599288C01_RGB.png","mode":1}</v>
      </c>
      <c r="D2728" s="5" t="str">
        <f ca="1">IFERROR(ROWSDUMMYFUNCTION(IF(A2728="","",CONCATENATE("https://us.pandora.net/on/demandware.static/-/Sites-pandora-master-catalog/default/dwbb259ca6/productimages/singlepackshot/",LEFT(A2728,FIND("-",A2728&amp;"-")-1),"_RGB.png"))),"https://us.pandora.net/on/demandware.static/-/Sites-pandora-master-catalog/default/dwbb259ca6/productimages/singlepackshot/599288C01_RGB.png")</f>
        <v>https://us.pandora.net/on/demandware.static/-/Sites-pandora-master-catalog/default/dwbb259ca6/productimages/singlepackshot/599288C01_RGB.png</v>
      </c>
    </row>
    <row r="2729" spans="1:4" x14ac:dyDescent="0.25">
      <c r="A2729" s="3" t="s">
        <v>2731</v>
      </c>
      <c r="B2729" s="4">
        <v>69</v>
      </c>
      <c r="C2729" s="3" t="str">
        <f ca="1">IFERROR(ROWSDUMMYFUNCTION(IF(A2729="","",IFERROR(IMAGE(CONCATENATE("https://us.pandora.net/on/demandware.static/-/Sites-pandora-master-catalog/default/dwbb259ca6/productimages/singlepackshot/",LEFT(A2729,FIND("-",A2729&amp;"-")-1),"_RGB.png")),""))),"{""url"":""https://us.pandora.net/on/demandware.static/-/Sites-pandora-master-catalog/default/dwbb259ca6/productimages/singlepackshot/599375C01_RGB.png"",""mode"":1}")</f>
        <v>{"url":"https://us.pandora.net/on/demandware.static/-/Sites-pandora-master-catalog/default/dwbb259ca6/productimages/singlepackshot/599375C01_RGB.png","mode":1}</v>
      </c>
      <c r="D2729" s="5" t="str">
        <f ca="1">IFERROR(ROWSDUMMYFUNCTION(IF(A2729="","",CONCATENATE("https://us.pandora.net/on/demandware.static/-/Sites-pandora-master-catalog/default/dwbb259ca6/productimages/singlepackshot/",LEFT(A2729,FIND("-",A2729&amp;"-")-1),"_RGB.png"))),"https://us.pandora.net/on/demandware.static/-/Sites-pandora-master-catalog/default/dwbb259ca6/productimages/singlepackshot/599375C01_RGB.png")</f>
        <v>https://us.pandora.net/on/demandware.static/-/Sites-pandora-master-catalog/default/dwbb259ca6/productimages/singlepackshot/599375C01_RGB.png</v>
      </c>
    </row>
    <row r="2730" spans="1:4" x14ac:dyDescent="0.25">
      <c r="A2730" s="3" t="s">
        <v>2732</v>
      </c>
      <c r="B2730" s="4">
        <v>69</v>
      </c>
      <c r="C2730" s="3" t="str">
        <f ca="1">IFERROR(ROWSDUMMYFUNCTION(IF(A2730="","",IFERROR(IMAGE(CONCATENATE("https://us.pandora.net/on/demandware.static/-/Sites-pandora-master-catalog/default/dwbb259ca6/productimages/singlepackshot/",LEFT(A2730,FIND("-",A2730&amp;"-")-1),"_RGB.png")),""))),"{""url"":""https://us.pandora.net/on/demandware.static/-/Sites-pandora-master-catalog/default/dwbb259ca6/productimages/singlepackshot/599375C01_RGB.png"",""mode"":1}")</f>
        <v>{"url":"https://us.pandora.net/on/demandware.static/-/Sites-pandora-master-catalog/default/dwbb259ca6/productimages/singlepackshot/599375C01_RGB.png","mode":1}</v>
      </c>
      <c r="D2730" s="5" t="str">
        <f ca="1">IFERROR(ROWSDUMMYFUNCTION(IF(A2730="","",CONCATENATE("https://us.pandora.net/on/demandware.static/-/Sites-pandora-master-catalog/default/dwbb259ca6/productimages/singlepackshot/",LEFT(A2730,FIND("-",A2730&amp;"-")-1),"_RGB.png"))),"https://us.pandora.net/on/demandware.static/-/Sites-pandora-master-catalog/default/dwbb259ca6/productimages/singlepackshot/599375C01_RGB.png")</f>
        <v>https://us.pandora.net/on/demandware.static/-/Sites-pandora-master-catalog/default/dwbb259ca6/productimages/singlepackshot/599375C01_RGB.png</v>
      </c>
    </row>
    <row r="2731" spans="1:4" x14ac:dyDescent="0.25">
      <c r="A2731" s="3" t="s">
        <v>2733</v>
      </c>
      <c r="B2731" s="4">
        <v>89</v>
      </c>
      <c r="C2731" s="3" t="str">
        <f ca="1">IFERROR(ROWSDUMMYFUNCTION(IF(A2731="","",IFERROR(IMAGE(CONCATENATE("https://us.pandora.net/on/demandware.static/-/Sites-pandora-master-catalog/default/dwbb259ca6/productimages/singlepackshot/",LEFT(A2731,FIND("-",A2731&amp;"-")-1),"_RGB.png")),""))),"{""url"":""https://us.pandora.net/on/demandware.static/-/Sites-pandora-master-catalog/default/dwbb259ca6/productimages/singlepackshot/599416C01_RGB.png"",""mode"":1}")</f>
        <v>{"url":"https://us.pandora.net/on/demandware.static/-/Sites-pandora-master-catalog/default/dwbb259ca6/productimages/singlepackshot/599416C01_RGB.png","mode":1}</v>
      </c>
      <c r="D2731" s="5" t="str">
        <f ca="1">IFERROR(ROWSDUMMYFUNCTION(IF(A2731="","",CONCATENATE("https://us.pandora.net/on/demandware.static/-/Sites-pandora-master-catalog/default/dwbb259ca6/productimages/singlepackshot/",LEFT(A2731,FIND("-",A2731&amp;"-")-1),"_RGB.png"))),"https://us.pandora.net/on/demandware.static/-/Sites-pandora-master-catalog/default/dwbb259ca6/productimages/singlepackshot/599416C01_RGB.png")</f>
        <v>https://us.pandora.net/on/demandware.static/-/Sites-pandora-master-catalog/default/dwbb259ca6/productimages/singlepackshot/599416C01_RGB.png</v>
      </c>
    </row>
    <row r="2732" spans="1:4" x14ac:dyDescent="0.25">
      <c r="A2732" s="3" t="s">
        <v>2734</v>
      </c>
      <c r="B2732" s="4">
        <v>89</v>
      </c>
      <c r="C2732" s="3" t="str">
        <f ca="1">IFERROR(ROWSDUMMYFUNCTION(IF(A2732="","",IFERROR(IMAGE(CONCATENATE("https://us.pandora.net/on/demandware.static/-/Sites-pandora-master-catalog/default/dwbb259ca6/productimages/singlepackshot/",LEFT(A2732,FIND("-",A2732&amp;"-")-1),"_RGB.png")),""))),"{""url"":""https://us.pandora.net/on/demandware.static/-/Sites-pandora-master-catalog/default/dwbb259ca6/productimages/singlepackshot/599416C01_RGB.png"",""mode"":1}")</f>
        <v>{"url":"https://us.pandora.net/on/demandware.static/-/Sites-pandora-master-catalog/default/dwbb259ca6/productimages/singlepackshot/599416C01_RGB.png","mode":1}</v>
      </c>
      <c r="D2732" s="5" t="str">
        <f ca="1">IFERROR(ROWSDUMMYFUNCTION(IF(A2732="","",CONCATENATE("https://us.pandora.net/on/demandware.static/-/Sites-pandora-master-catalog/default/dwbb259ca6/productimages/singlepackshot/",LEFT(A2732,FIND("-",A2732&amp;"-")-1),"_RGB.png"))),"https://us.pandora.net/on/demandware.static/-/Sites-pandora-master-catalog/default/dwbb259ca6/productimages/singlepackshot/599416C01_RGB.png")</f>
        <v>https://us.pandora.net/on/demandware.static/-/Sites-pandora-master-catalog/default/dwbb259ca6/productimages/singlepackshot/599416C01_RGB.png</v>
      </c>
    </row>
    <row r="2733" spans="1:4" x14ac:dyDescent="0.25">
      <c r="A2733" s="3" t="s">
        <v>2735</v>
      </c>
      <c r="B2733" s="4">
        <v>89</v>
      </c>
      <c r="C2733" s="3" t="str">
        <f ca="1">IFERROR(ROWSDUMMYFUNCTION(IF(A2733="","",IFERROR(IMAGE(CONCATENATE("https://us.pandora.net/on/demandware.static/-/Sites-pandora-master-catalog/default/dwbb259ca6/productimages/singlepackshot/",LEFT(A2733,FIND("-",A2733&amp;"-")-1),"_RGB.png")),""))),"{""url"":""https://us.pandora.net/on/demandware.static/-/Sites-pandora-master-catalog/default/dwbb259ca6/productimages/singlepackshot/599416C01_RGB.png"",""mode"":1}")</f>
        <v>{"url":"https://us.pandora.net/on/demandware.static/-/Sites-pandora-master-catalog/default/dwbb259ca6/productimages/singlepackshot/599416C01_RGB.png","mode":1}</v>
      </c>
      <c r="D2733" s="5" t="str">
        <f ca="1">IFERROR(ROWSDUMMYFUNCTION(IF(A2733="","",CONCATENATE("https://us.pandora.net/on/demandware.static/-/Sites-pandora-master-catalog/default/dwbb259ca6/productimages/singlepackshot/",LEFT(A2733,FIND("-",A2733&amp;"-")-1),"_RGB.png"))),"https://us.pandora.net/on/demandware.static/-/Sites-pandora-master-catalog/default/dwbb259ca6/productimages/singlepackshot/599416C01_RGB.png")</f>
        <v>https://us.pandora.net/on/demandware.static/-/Sites-pandora-master-catalog/default/dwbb259ca6/productimages/singlepackshot/599416C01_RGB.png</v>
      </c>
    </row>
    <row r="2734" spans="1:4" x14ac:dyDescent="0.25">
      <c r="A2734" s="3" t="s">
        <v>2736</v>
      </c>
      <c r="B2734" s="4">
        <v>79</v>
      </c>
      <c r="C2734" s="3" t="str">
        <f ca="1">IFERROR(ROWSDUMMYFUNCTION(IF(A2734="","",IFERROR(IMAGE(CONCATENATE("https://us.pandora.net/on/demandware.static/-/Sites-pandora-master-catalog/default/dwbb259ca6/productimages/singlepackshot/",LEFT(A2734,FIND("-",A2734&amp;"-")-1),"_RGB.png")),""))),"{""url"":""https://us.pandora.net/on/demandware.static/-/Sites-pandora-master-catalog/default/dwbb259ca6/productimages/singlepackshot/599523C00_RGB.png"",""mode"":1}")</f>
        <v>{"url":"https://us.pandora.net/on/demandware.static/-/Sites-pandora-master-catalog/default/dwbb259ca6/productimages/singlepackshot/599523C00_RGB.png","mode":1}</v>
      </c>
      <c r="D2734" s="5" t="str">
        <f ca="1">IFERROR(ROWSDUMMYFUNCTION(IF(A2734="","",CONCATENATE("https://us.pandora.net/on/demandware.static/-/Sites-pandora-master-catalog/default/dwbb259ca6/productimages/singlepackshot/",LEFT(A2734,FIND("-",A2734&amp;"-")-1),"_RGB.png"))),"https://us.pandora.net/on/demandware.static/-/Sites-pandora-master-catalog/default/dwbb259ca6/productimages/singlepackshot/599523C00_RGB.png")</f>
        <v>https://us.pandora.net/on/demandware.static/-/Sites-pandora-master-catalog/default/dwbb259ca6/productimages/singlepackshot/599523C00_RGB.png</v>
      </c>
    </row>
    <row r="2735" spans="1:4" x14ac:dyDescent="0.25">
      <c r="A2735" s="3" t="s">
        <v>2737</v>
      </c>
      <c r="B2735" s="4">
        <v>79</v>
      </c>
      <c r="C2735" s="3" t="str">
        <f ca="1">IFERROR(ROWSDUMMYFUNCTION(IF(A2735="","",IFERROR(IMAGE(CONCATENATE("https://us.pandora.net/on/demandware.static/-/Sites-pandora-master-catalog/default/dwbb259ca6/productimages/singlepackshot/",LEFT(A2735,FIND("-",A2735&amp;"-")-1),"_RGB.png")),""))),"{""url"":""https://us.pandora.net/on/demandware.static/-/Sites-pandora-master-catalog/default/dwbb259ca6/productimages/singlepackshot/599523C00_RGB.png"",""mode"":1}")</f>
        <v>{"url":"https://us.pandora.net/on/demandware.static/-/Sites-pandora-master-catalog/default/dwbb259ca6/productimages/singlepackshot/599523C00_RGB.png","mode":1}</v>
      </c>
      <c r="D2735" s="5" t="str">
        <f ca="1">IFERROR(ROWSDUMMYFUNCTION(IF(A2735="","",CONCATENATE("https://us.pandora.net/on/demandware.static/-/Sites-pandora-master-catalog/default/dwbb259ca6/productimages/singlepackshot/",LEFT(A2735,FIND("-",A2735&amp;"-")-1),"_RGB.png"))),"https://us.pandora.net/on/demandware.static/-/Sites-pandora-master-catalog/default/dwbb259ca6/productimages/singlepackshot/599523C00_RGB.png")</f>
        <v>https://us.pandora.net/on/demandware.static/-/Sites-pandora-master-catalog/default/dwbb259ca6/productimages/singlepackshot/599523C00_RGB.png</v>
      </c>
    </row>
    <row r="2736" spans="1:4" x14ac:dyDescent="0.25">
      <c r="A2736" s="3" t="s">
        <v>2738</v>
      </c>
      <c r="B2736" s="4">
        <v>79</v>
      </c>
      <c r="C2736" s="3" t="str">
        <f ca="1">IFERROR(ROWSDUMMYFUNCTION(IF(A2736="","",IFERROR(IMAGE(CONCATENATE("https://us.pandora.net/on/demandware.static/-/Sites-pandora-master-catalog/default/dwbb259ca6/productimages/singlepackshot/",LEFT(A2736,FIND("-",A2736&amp;"-")-1),"_RGB.png")),""))),"{""url"":""https://us.pandora.net/on/demandware.static/-/Sites-pandora-master-catalog/default/dwbb259ca6/productimages/singlepackshot/599523C00_RGB.png"",""mode"":1}")</f>
        <v>{"url":"https://us.pandora.net/on/demandware.static/-/Sites-pandora-master-catalog/default/dwbb259ca6/productimages/singlepackshot/599523C00_RGB.png","mode":1}</v>
      </c>
      <c r="D2736" s="5" t="str">
        <f ca="1">IFERROR(ROWSDUMMYFUNCTION(IF(A2736="","",CONCATENATE("https://us.pandora.net/on/demandware.static/-/Sites-pandora-master-catalog/default/dwbb259ca6/productimages/singlepackshot/",LEFT(A2736,FIND("-",A2736&amp;"-")-1),"_RGB.png"))),"https://us.pandora.net/on/demandware.static/-/Sites-pandora-master-catalog/default/dwbb259ca6/productimages/singlepackshot/599523C00_RGB.png")</f>
        <v>https://us.pandora.net/on/demandware.static/-/Sites-pandora-master-catalog/default/dwbb259ca6/productimages/singlepackshot/599523C00_RGB.png</v>
      </c>
    </row>
    <row r="2737" spans="1:4" x14ac:dyDescent="0.25">
      <c r="A2737" s="3" t="s">
        <v>2739</v>
      </c>
      <c r="B2737" s="4">
        <v>69</v>
      </c>
      <c r="C2737" s="3" t="str">
        <f ca="1">IFERROR(ROWSDUMMYFUNCTION(IF(A2737="","",IFERROR(IMAGE(CONCATENATE("https://us.pandora.net/on/demandware.static/-/Sites-pandora-master-catalog/default/dwbb259ca6/productimages/singlepackshot/",LEFT(A2737,FIND("-",A2737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37" s="5" t="str">
        <f ca="1">IFERROR(ROWSDUMMYFUNCTION(IF(A2737="","",CONCATENATE("https://us.pandora.net/on/demandware.static/-/Sites-pandora-master-catalog/default/dwbb259ca6/productimages/singlepackshot/",LEFT(A2737,FIND("-",A2737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38" spans="1:4" x14ac:dyDescent="0.25">
      <c r="A2738" s="3" t="s">
        <v>2740</v>
      </c>
      <c r="B2738" s="4">
        <v>69</v>
      </c>
      <c r="C2738" s="3" t="str">
        <f ca="1">IFERROR(ROWSDUMMYFUNCTION(IF(A2738="","",IFERROR(IMAGE(CONCATENATE("https://us.pandora.net/on/demandware.static/-/Sites-pandora-master-catalog/default/dwbb259ca6/productimages/singlepackshot/",LEFT(A2738,FIND("-",A2738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38" s="5" t="str">
        <f ca="1">IFERROR(ROWSDUMMYFUNCTION(IF(A2738="","",CONCATENATE("https://us.pandora.net/on/demandware.static/-/Sites-pandora-master-catalog/default/dwbb259ca6/productimages/singlepackshot/",LEFT(A2738,FIND("-",A2738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39" spans="1:4" x14ac:dyDescent="0.25">
      <c r="A2739" s="3" t="s">
        <v>2741</v>
      </c>
      <c r="B2739" s="4">
        <v>69</v>
      </c>
      <c r="C2739" s="3" t="str">
        <f ca="1">IFERROR(ROWSDUMMYFUNCTION(IF(A2739="","",IFERROR(IMAGE(CONCATENATE("https://us.pandora.net/on/demandware.static/-/Sites-pandora-master-catalog/default/dwbb259ca6/productimages/singlepackshot/",LEFT(A2739,FIND("-",A2739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39" s="5" t="str">
        <f ca="1">IFERROR(ROWSDUMMYFUNCTION(IF(A2739="","",CONCATENATE("https://us.pandora.net/on/demandware.static/-/Sites-pandora-master-catalog/default/dwbb259ca6/productimages/singlepackshot/",LEFT(A2739,FIND("-",A2739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40" spans="1:4" x14ac:dyDescent="0.25">
      <c r="A2740" s="3" t="s">
        <v>2742</v>
      </c>
      <c r="B2740" s="4">
        <v>69</v>
      </c>
      <c r="C2740" s="3" t="str">
        <f ca="1">IFERROR(ROWSDUMMYFUNCTION(IF(A2740="","",IFERROR(IMAGE(CONCATENATE("https://us.pandora.net/on/demandware.static/-/Sites-pandora-master-catalog/default/dwbb259ca6/productimages/singlepackshot/",LEFT(A2740,FIND("-",A2740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40" s="5" t="str">
        <f ca="1">IFERROR(ROWSDUMMYFUNCTION(IF(A2740="","",CONCATENATE("https://us.pandora.net/on/demandware.static/-/Sites-pandora-master-catalog/default/dwbb259ca6/productimages/singlepackshot/",LEFT(A2740,FIND("-",A2740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41" spans="1:4" x14ac:dyDescent="0.25">
      <c r="A2741" s="3" t="s">
        <v>2743</v>
      </c>
      <c r="B2741" s="4">
        <v>69</v>
      </c>
      <c r="C2741" s="3" t="str">
        <f ca="1">IFERROR(ROWSDUMMYFUNCTION(IF(A2741="","",IFERROR(IMAGE(CONCATENATE("https://us.pandora.net/on/demandware.static/-/Sites-pandora-master-catalog/default/dwbb259ca6/productimages/singlepackshot/",LEFT(A2741,FIND("-",A2741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41" s="5" t="str">
        <f ca="1">IFERROR(ROWSDUMMYFUNCTION(IF(A2741="","",CONCATENATE("https://us.pandora.net/on/demandware.static/-/Sites-pandora-master-catalog/default/dwbb259ca6/productimages/singlepackshot/",LEFT(A2741,FIND("-",A2741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42" spans="1:4" x14ac:dyDescent="0.25">
      <c r="A2742" s="3" t="s">
        <v>2744</v>
      </c>
      <c r="B2742" s="4">
        <v>69</v>
      </c>
      <c r="C2742" s="3" t="str">
        <f ca="1">IFERROR(ROWSDUMMYFUNCTION(IF(A2742="","",IFERROR(IMAGE(CONCATENATE("https://us.pandora.net/on/demandware.static/-/Sites-pandora-master-catalog/default/dwbb259ca6/productimages/singlepackshot/",LEFT(A2742,FIND("-",A2742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42" s="5" t="str">
        <f ca="1">IFERROR(ROWSDUMMYFUNCTION(IF(A2742="","",CONCATENATE("https://us.pandora.net/on/demandware.static/-/Sites-pandora-master-catalog/default/dwbb259ca6/productimages/singlepackshot/",LEFT(A2742,FIND("-",A2742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43" spans="1:4" x14ac:dyDescent="0.25">
      <c r="A2743" s="3" t="s">
        <v>2745</v>
      </c>
      <c r="B2743" s="4">
        <v>69</v>
      </c>
      <c r="C2743" s="3" t="str">
        <f ca="1">IFERROR(ROWSDUMMYFUNCTION(IF(A2743="","",IFERROR(IMAGE(CONCATENATE("https://us.pandora.net/on/demandware.static/-/Sites-pandora-master-catalog/default/dwbb259ca6/productimages/singlepackshot/",LEFT(A2743,FIND("-",A2743&amp;"-")-1),"_RGB.png")),""))),"{""url"":""https://us.pandora.net/on/demandware.static/-/Sites-pandora-master-catalog/default/dwbb259ca6/productimages/singlepackshot/599539C00_RGB.png"",""mode"":1}")</f>
        <v>{"url":"https://us.pandora.net/on/demandware.static/-/Sites-pandora-master-catalog/default/dwbb259ca6/productimages/singlepackshot/599539C00_RGB.png","mode":1}</v>
      </c>
      <c r="D2743" s="5" t="str">
        <f ca="1">IFERROR(ROWSDUMMYFUNCTION(IF(A2743="","",CONCATENATE("https://us.pandora.net/on/demandware.static/-/Sites-pandora-master-catalog/default/dwbb259ca6/productimages/singlepackshot/",LEFT(A2743,FIND("-",A2743&amp;"-")-1),"_RGB.png"))),"https://us.pandora.net/on/demandware.static/-/Sites-pandora-master-catalog/default/dwbb259ca6/productimages/singlepackshot/599539C00_RGB.png")</f>
        <v>https://us.pandora.net/on/demandware.static/-/Sites-pandora-master-catalog/default/dwbb259ca6/productimages/singlepackshot/599539C00_RGB.png</v>
      </c>
    </row>
    <row r="2744" spans="1:4" x14ac:dyDescent="0.25">
      <c r="A2744" s="3" t="s">
        <v>2746</v>
      </c>
      <c r="B2744" s="4">
        <v>79</v>
      </c>
      <c r="C2744" s="3" t="str">
        <f ca="1">IFERROR(ROWSDUMMYFUNCTION(IF(A2744="","",IFERROR(IMAGE(CONCATENATE("https://us.pandora.net/on/demandware.static/-/Sites-pandora-master-catalog/default/dwbb259ca6/productimages/singlepackshot/",LEFT(A2744,FIND("-",A2744&amp;"-")-1),"_RGB.png")),""))),"{""url"":""https://us.pandora.net/on/demandware.static/-/Sites-pandora-master-catalog/default/dwbb259ca6/productimages/singlepackshot/599588C00_RGB.png"",""mode"":1}")</f>
        <v>{"url":"https://us.pandora.net/on/demandware.static/-/Sites-pandora-master-catalog/default/dwbb259ca6/productimages/singlepackshot/599588C00_RGB.png","mode":1}</v>
      </c>
      <c r="D2744" s="5" t="str">
        <f ca="1">IFERROR(ROWSDUMMYFUNCTION(IF(A2744="","",CONCATENATE("https://us.pandora.net/on/demandware.static/-/Sites-pandora-master-catalog/default/dwbb259ca6/productimages/singlepackshot/",LEFT(A2744,FIND("-",A2744&amp;"-")-1),"_RGB.png"))),"https://us.pandora.net/on/demandware.static/-/Sites-pandora-master-catalog/default/dwbb259ca6/productimages/singlepackshot/599588C00_RGB.png")</f>
        <v>https://us.pandora.net/on/demandware.static/-/Sites-pandora-master-catalog/default/dwbb259ca6/productimages/singlepackshot/599588C00_RGB.png</v>
      </c>
    </row>
    <row r="2745" spans="1:4" x14ac:dyDescent="0.25">
      <c r="A2745" s="3" t="s">
        <v>2747</v>
      </c>
      <c r="B2745" s="4">
        <v>79</v>
      </c>
      <c r="C2745" s="3" t="str">
        <f ca="1">IFERROR(ROWSDUMMYFUNCTION(IF(A2745="","",IFERROR(IMAGE(CONCATENATE("https://us.pandora.net/on/demandware.static/-/Sites-pandora-master-catalog/default/dwbb259ca6/productimages/singlepackshot/",LEFT(A2745,FIND("-",A2745&amp;"-")-1),"_RGB.png")),""))),"{""url"":""https://us.pandora.net/on/demandware.static/-/Sites-pandora-master-catalog/default/dwbb259ca6/productimages/singlepackshot/599588C00_RGB.png"",""mode"":1}")</f>
        <v>{"url":"https://us.pandora.net/on/demandware.static/-/Sites-pandora-master-catalog/default/dwbb259ca6/productimages/singlepackshot/599588C00_RGB.png","mode":1}</v>
      </c>
      <c r="D2745" s="5" t="str">
        <f ca="1">IFERROR(ROWSDUMMYFUNCTION(IF(A2745="","",CONCATENATE("https://us.pandora.net/on/demandware.static/-/Sites-pandora-master-catalog/default/dwbb259ca6/productimages/singlepackshot/",LEFT(A2745,FIND("-",A2745&amp;"-")-1),"_RGB.png"))),"https://us.pandora.net/on/demandware.static/-/Sites-pandora-master-catalog/default/dwbb259ca6/productimages/singlepackshot/599588C00_RGB.png")</f>
        <v>https://us.pandora.net/on/demandware.static/-/Sites-pandora-master-catalog/default/dwbb259ca6/productimages/singlepackshot/599588C00_RGB.png</v>
      </c>
    </row>
    <row r="2746" spans="1:4" x14ac:dyDescent="0.25">
      <c r="A2746" s="3" t="s">
        <v>2748</v>
      </c>
      <c r="B2746" s="4">
        <v>79</v>
      </c>
      <c r="C2746" s="3" t="str">
        <f ca="1">IFERROR(ROWSDUMMYFUNCTION(IF(A2746="","",IFERROR(IMAGE(CONCATENATE("https://us.pandora.net/on/demandware.static/-/Sites-pandora-master-catalog/default/dwbb259ca6/productimages/singlepackshot/",LEFT(A2746,FIND("-",A2746&amp;"-")-1),"_RGB.png")),""))),"{""url"":""https://us.pandora.net/on/demandware.static/-/Sites-pandora-master-catalog/default/dwbb259ca6/productimages/singlepackshot/599588C00_RGB.png"",""mode"":1}")</f>
        <v>{"url":"https://us.pandora.net/on/demandware.static/-/Sites-pandora-master-catalog/default/dwbb259ca6/productimages/singlepackshot/599588C00_RGB.png","mode":1}</v>
      </c>
      <c r="D2746" s="5" t="str">
        <f ca="1">IFERROR(ROWSDUMMYFUNCTION(IF(A2746="","",CONCATENATE("https://us.pandora.net/on/demandware.static/-/Sites-pandora-master-catalog/default/dwbb259ca6/productimages/singlepackshot/",LEFT(A2746,FIND("-",A2746&amp;"-")-1),"_RGB.png"))),"https://us.pandora.net/on/demandware.static/-/Sites-pandora-master-catalog/default/dwbb259ca6/productimages/singlepackshot/599588C00_RGB.png")</f>
        <v>https://us.pandora.net/on/demandware.static/-/Sites-pandora-master-catalog/default/dwbb259ca6/productimages/singlepackshot/599588C00_RGB.png</v>
      </c>
    </row>
    <row r="2747" spans="1:4" x14ac:dyDescent="0.25">
      <c r="A2747" s="3" t="s">
        <v>2749</v>
      </c>
      <c r="B2747" s="4">
        <v>79</v>
      </c>
      <c r="C2747" s="3" t="str">
        <f ca="1">IFERROR(ROWSDUMMYFUNCTION(IF(A2747="","",IFERROR(IMAGE(CONCATENATE("https://us.pandora.net/on/demandware.static/-/Sites-pandora-master-catalog/default/dwbb259ca6/productimages/singlepackshot/",LEFT(A2747,FIND("-",A2747&amp;"-")-1),"_RGB.png")),""))),"{""url"":""https://us.pandora.net/on/demandware.static/-/Sites-pandora-master-catalog/default/dwbb259ca6/productimages/singlepackshot/599588C00_RGB.png"",""mode"":1}")</f>
        <v>{"url":"https://us.pandora.net/on/demandware.static/-/Sites-pandora-master-catalog/default/dwbb259ca6/productimages/singlepackshot/599588C00_RGB.png","mode":1}</v>
      </c>
      <c r="D2747" s="5" t="str">
        <f ca="1">IFERROR(ROWSDUMMYFUNCTION(IF(A2747="","",CONCATENATE("https://us.pandora.net/on/demandware.static/-/Sites-pandora-master-catalog/default/dwbb259ca6/productimages/singlepackshot/",LEFT(A2747,FIND("-",A2747&amp;"-")-1),"_RGB.png"))),"https://us.pandora.net/on/demandware.static/-/Sites-pandora-master-catalog/default/dwbb259ca6/productimages/singlepackshot/599588C00_RGB.png")</f>
        <v>https://us.pandora.net/on/demandware.static/-/Sites-pandora-master-catalog/default/dwbb259ca6/productimages/singlepackshot/599588C00_RGB.png</v>
      </c>
    </row>
    <row r="2748" spans="1:4" x14ac:dyDescent="0.25">
      <c r="A2748" s="3" t="s">
        <v>2750</v>
      </c>
      <c r="B2748" s="4">
        <v>79</v>
      </c>
      <c r="C2748" s="3" t="str">
        <f ca="1">IFERROR(ROWSDUMMYFUNCTION(IF(A2748="","",IFERROR(IMAGE(CONCATENATE("https://us.pandora.net/on/demandware.static/-/Sites-pandora-master-catalog/default/dwbb259ca6/productimages/singlepackshot/",LEFT(A2748,FIND("-",A2748&amp;"-")-1),"_RGB.png")),""))),"{""url"":""https://us.pandora.net/on/demandware.static/-/Sites-pandora-master-catalog/default/dwbb259ca6/productimages/singlepackshot/599588C00_RGB.png"",""mode"":1}")</f>
        <v>{"url":"https://us.pandora.net/on/demandware.static/-/Sites-pandora-master-catalog/default/dwbb259ca6/productimages/singlepackshot/599588C00_RGB.png","mode":1}</v>
      </c>
      <c r="D2748" s="5" t="str">
        <f ca="1">IFERROR(ROWSDUMMYFUNCTION(IF(A2748="","",CONCATENATE("https://us.pandora.net/on/demandware.static/-/Sites-pandora-master-catalog/default/dwbb259ca6/productimages/singlepackshot/",LEFT(A2748,FIND("-",A2748&amp;"-")-1),"_RGB.png"))),"https://us.pandora.net/on/demandware.static/-/Sites-pandora-master-catalog/default/dwbb259ca6/productimages/singlepackshot/599588C00_RGB.png")</f>
        <v>https://us.pandora.net/on/demandware.static/-/Sites-pandora-master-catalog/default/dwbb259ca6/productimages/singlepackshot/599588C00_RGB.png</v>
      </c>
    </row>
    <row r="2749" spans="1:4" x14ac:dyDescent="0.25">
      <c r="A2749" s="3" t="s">
        <v>2751</v>
      </c>
      <c r="B2749" s="4">
        <v>79</v>
      </c>
      <c r="C2749" s="3" t="str">
        <f ca="1">IFERROR(ROWSDUMMYFUNCTION(IF(A2749="","",IFERROR(IMAGE(CONCATENATE("https://us.pandora.net/on/demandware.static/-/Sites-pandora-master-catalog/default/dwbb259ca6/productimages/singlepackshot/",LEFT(A2749,FIND("-",A2749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49" s="5" t="str">
        <f ca="1">IFERROR(ROWSDUMMYFUNCTION(IF(A2749="","",CONCATENATE("https://us.pandora.net/on/demandware.static/-/Sites-pandora-master-catalog/default/dwbb259ca6/productimages/singlepackshot/",LEFT(A2749,FIND("-",A2749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0" spans="1:4" x14ac:dyDescent="0.25">
      <c r="A2750" s="3" t="s">
        <v>2752</v>
      </c>
      <c r="B2750" s="4">
        <v>79</v>
      </c>
      <c r="C2750" s="3" t="str">
        <f ca="1">IFERROR(ROWSDUMMYFUNCTION(IF(A2750="","",IFERROR(IMAGE(CONCATENATE("https://us.pandora.net/on/demandware.static/-/Sites-pandora-master-catalog/default/dwbb259ca6/productimages/singlepackshot/",LEFT(A2750,FIND("-",A2750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50" s="5" t="str">
        <f ca="1">IFERROR(ROWSDUMMYFUNCTION(IF(A2750="","",CONCATENATE("https://us.pandora.net/on/demandware.static/-/Sites-pandora-master-catalog/default/dwbb259ca6/productimages/singlepackshot/",LEFT(A2750,FIND("-",A2750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1" spans="1:4" x14ac:dyDescent="0.25">
      <c r="A2751" s="3" t="s">
        <v>2753</v>
      </c>
      <c r="B2751" s="4">
        <v>79</v>
      </c>
      <c r="C2751" s="3" t="str">
        <f ca="1">IFERROR(ROWSDUMMYFUNCTION(IF(A2751="","",IFERROR(IMAGE(CONCATENATE("https://us.pandora.net/on/demandware.static/-/Sites-pandora-master-catalog/default/dwbb259ca6/productimages/singlepackshot/",LEFT(A2751,FIND("-",A2751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51" s="5" t="str">
        <f ca="1">IFERROR(ROWSDUMMYFUNCTION(IF(A2751="","",CONCATENATE("https://us.pandora.net/on/demandware.static/-/Sites-pandora-master-catalog/default/dwbb259ca6/productimages/singlepackshot/",LEFT(A2751,FIND("-",A2751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2" spans="1:4" x14ac:dyDescent="0.25">
      <c r="A2752" s="3" t="s">
        <v>2754</v>
      </c>
      <c r="B2752" s="4">
        <v>79</v>
      </c>
      <c r="C2752" s="3" t="str">
        <f ca="1">IFERROR(ROWSDUMMYFUNCTION(IF(A2752="","",IFERROR(IMAGE(CONCATENATE("https://us.pandora.net/on/demandware.static/-/Sites-pandora-master-catalog/default/dwbb259ca6/productimages/singlepackshot/",LEFT(A2752,FIND("-",A2752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52" s="5" t="str">
        <f ca="1">IFERROR(ROWSDUMMYFUNCTION(IF(A2752="","",CONCATENATE("https://us.pandora.net/on/demandware.static/-/Sites-pandora-master-catalog/default/dwbb259ca6/productimages/singlepackshot/",LEFT(A2752,FIND("-",A2752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3" spans="1:4" x14ac:dyDescent="0.25">
      <c r="A2753" s="3" t="s">
        <v>2755</v>
      </c>
      <c r="B2753" s="4">
        <v>79</v>
      </c>
      <c r="C2753" s="3" t="str">
        <f ca="1">IFERROR(ROWSDUMMYFUNCTION(IF(A2753="","",IFERROR(IMAGE(CONCATENATE("https://us.pandora.net/on/demandware.static/-/Sites-pandora-master-catalog/default/dwbb259ca6/productimages/singlepackshot/",LEFT(A2753,FIND("-",A2753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53" s="5" t="str">
        <f ca="1">IFERROR(ROWSDUMMYFUNCTION(IF(A2753="","",CONCATENATE("https://us.pandora.net/on/demandware.static/-/Sites-pandora-master-catalog/default/dwbb259ca6/productimages/singlepackshot/",LEFT(A2753,FIND("-",A2753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4" spans="1:4" x14ac:dyDescent="0.25">
      <c r="A2754" s="3" t="s">
        <v>2756</v>
      </c>
      <c r="B2754" s="4">
        <v>79</v>
      </c>
      <c r="C2754" s="3" t="str">
        <f ca="1">IFERROR(ROWSDUMMYFUNCTION(IF(A2754="","",IFERROR(IMAGE(CONCATENATE("https://us.pandora.net/on/demandware.static/-/Sites-pandora-master-catalog/default/dwbb259ca6/productimages/singlepackshot/",LEFT(A2754,FIND("-",A2754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54" s="5" t="str">
        <f ca="1">IFERROR(ROWSDUMMYFUNCTION(IF(A2754="","",CONCATENATE("https://us.pandora.net/on/demandware.static/-/Sites-pandora-master-catalog/default/dwbb259ca6/productimages/singlepackshot/",LEFT(A2754,FIND("-",A2754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5" spans="1:4" x14ac:dyDescent="0.25">
      <c r="A2755" s="3" t="s">
        <v>2757</v>
      </c>
      <c r="B2755" s="4">
        <v>79</v>
      </c>
      <c r="C2755" s="3" t="str">
        <f ca="1">IFERROR(ROWSDUMMYFUNCTION(IF(A2755="","",IFERROR(IMAGE(CONCATENATE("https://us.pandora.net/on/demandware.static/-/Sites-pandora-master-catalog/default/dwbb259ca6/productimages/singlepackshot/",LEFT(A2755,FIND("-",A2755&amp;"-")-1),"_RGB.png")),""))),"{""url"":""https://us.pandora.net/on/demandware.static/-/Sites-pandora-master-catalog/default/dwbb259ca6/productimages/singlepackshot/599639C01_RGB.png"",""mode"":1}")</f>
        <v>{"url":"https://us.pandora.net/on/demandware.static/-/Sites-pandora-master-catalog/default/dwbb259ca6/productimages/singlepackshot/599639C01_RGB.png","mode":1}</v>
      </c>
      <c r="D2755" s="5" t="str">
        <f ca="1">IFERROR(ROWSDUMMYFUNCTION(IF(A2755="","",CONCATENATE("https://us.pandora.net/on/demandware.static/-/Sites-pandora-master-catalog/default/dwbb259ca6/productimages/singlepackshot/",LEFT(A2755,FIND("-",A2755&amp;"-")-1),"_RGB.png"))),"https://us.pandora.net/on/demandware.static/-/Sites-pandora-master-catalog/default/dwbb259ca6/productimages/singlepackshot/599639C01_RGB.png")</f>
        <v>https://us.pandora.net/on/demandware.static/-/Sites-pandora-master-catalog/default/dwbb259ca6/productimages/singlepackshot/599639C01_RGB.png</v>
      </c>
    </row>
    <row r="2756" spans="1:4" x14ac:dyDescent="0.25">
      <c r="A2756" s="3" t="s">
        <v>2758</v>
      </c>
      <c r="B2756" s="4">
        <v>69</v>
      </c>
      <c r="C2756" s="3" t="str">
        <f ca="1">IFERROR(ROWSDUMMYFUNCTION(IF(A2756="","",IFERROR(IMAGE(CONCATENATE("https://us.pandora.net/on/demandware.static/-/Sites-pandora-master-catalog/default/dwbb259ca6/productimages/singlepackshot/",LEFT(A2756,FIND("-",A2756&amp;"-")-1),"_RGB.png")),""))),"{""url"":""https://us.pandora.net/on/demandware.static/-/Sites-pandora-master-catalog/default/dwbb259ca6/productimages/singlepackshot/599652C01_RGB.png"",""mode"":1}")</f>
        <v>{"url":"https://us.pandora.net/on/demandware.static/-/Sites-pandora-master-catalog/default/dwbb259ca6/productimages/singlepackshot/599652C01_RGB.png","mode":1}</v>
      </c>
      <c r="D2756" s="5" t="str">
        <f ca="1">IFERROR(ROWSDUMMYFUNCTION(IF(A2756="","",CONCATENATE("https://us.pandora.net/on/demandware.static/-/Sites-pandora-master-catalog/default/dwbb259ca6/productimages/singlepackshot/",LEFT(A2756,FIND("-",A2756&amp;"-")-1),"_RGB.png"))),"https://us.pandora.net/on/demandware.static/-/Sites-pandora-master-catalog/default/dwbb259ca6/productimages/singlepackshot/599652C01_RGB.png")</f>
        <v>https://us.pandora.net/on/demandware.static/-/Sites-pandora-master-catalog/default/dwbb259ca6/productimages/singlepackshot/599652C01_RGB.png</v>
      </c>
    </row>
    <row r="2757" spans="1:4" x14ac:dyDescent="0.25">
      <c r="A2757" s="3" t="s">
        <v>2759</v>
      </c>
      <c r="B2757" s="4">
        <v>69</v>
      </c>
      <c r="C2757" s="3" t="str">
        <f ca="1">IFERROR(ROWSDUMMYFUNCTION(IF(A2757="","",IFERROR(IMAGE(CONCATENATE("https://us.pandora.net/on/demandware.static/-/Sites-pandora-master-catalog/default/dwbb259ca6/productimages/singlepackshot/",LEFT(A2757,FIND("-",A2757&amp;"-")-1),"_RGB.png")),""))),"{""url"":""https://us.pandora.net/on/demandware.static/-/Sites-pandora-master-catalog/default/dwbb259ca6/productimages/singlepackshot/599662C00_RGB.png"",""mode"":1}")</f>
        <v>{"url":"https://us.pandora.net/on/demandware.static/-/Sites-pandora-master-catalog/default/dwbb259ca6/productimages/singlepackshot/599662C00_RGB.png","mode":1}</v>
      </c>
      <c r="D2757" s="5" t="str">
        <f ca="1">IFERROR(ROWSDUMMYFUNCTION(IF(A2757="","",CONCATENATE("https://us.pandora.net/on/demandware.static/-/Sites-pandora-master-catalog/default/dwbb259ca6/productimages/singlepackshot/",LEFT(A2757,FIND("-",A2757&amp;"-")-1),"_RGB.png"))),"https://us.pandora.net/on/demandware.static/-/Sites-pandora-master-catalog/default/dwbb259ca6/productimages/singlepackshot/599662C00_RGB.png")</f>
        <v>https://us.pandora.net/on/demandware.static/-/Sites-pandora-master-catalog/default/dwbb259ca6/productimages/singlepackshot/599662C00_RGB.png</v>
      </c>
    </row>
    <row r="2758" spans="1:4" x14ac:dyDescent="0.25">
      <c r="A2758" s="3" t="s">
        <v>2760</v>
      </c>
      <c r="B2758" s="4">
        <v>69</v>
      </c>
      <c r="C2758" s="3" t="str">
        <f ca="1">IFERROR(ROWSDUMMYFUNCTION(IF(A2758="","",IFERROR(IMAGE(CONCATENATE("https://us.pandora.net/on/demandware.static/-/Sites-pandora-master-catalog/default/dwbb259ca6/productimages/singlepackshot/",LEFT(A2758,FIND("-",A2758&amp;"-")-1),"_RGB.png")),""))),"{""url"":""https://us.pandora.net/on/demandware.static/-/Sites-pandora-master-catalog/default/dwbb259ca6/productimages/singlepackshot/599662C00_RGB.png"",""mode"":1}")</f>
        <v>{"url":"https://us.pandora.net/on/demandware.static/-/Sites-pandora-master-catalog/default/dwbb259ca6/productimages/singlepackshot/599662C00_RGB.png","mode":1}</v>
      </c>
      <c r="D2758" s="5" t="str">
        <f ca="1">IFERROR(ROWSDUMMYFUNCTION(IF(A2758="","",CONCATENATE("https://us.pandora.net/on/demandware.static/-/Sites-pandora-master-catalog/default/dwbb259ca6/productimages/singlepackshot/",LEFT(A2758,FIND("-",A2758&amp;"-")-1),"_RGB.png"))),"https://us.pandora.net/on/demandware.static/-/Sites-pandora-master-catalog/default/dwbb259ca6/productimages/singlepackshot/599662C00_RGB.png")</f>
        <v>https://us.pandora.net/on/demandware.static/-/Sites-pandora-master-catalog/default/dwbb259ca6/productimages/singlepackshot/599662C00_RGB.png</v>
      </c>
    </row>
    <row r="2759" spans="1:4" x14ac:dyDescent="0.25">
      <c r="A2759" s="3" t="s">
        <v>2761</v>
      </c>
      <c r="B2759" s="4">
        <v>69</v>
      </c>
      <c r="C2759" s="3" t="str">
        <f ca="1">IFERROR(ROWSDUMMYFUNCTION(IF(A2759="","",IFERROR(IMAGE(CONCATENATE("https://us.pandora.net/on/demandware.static/-/Sites-pandora-master-catalog/default/dwbb259ca6/productimages/singlepackshot/",LEFT(A2759,FIND("-",A2759&amp;"-")-1),"_RGB.png")),""))),"{""url"":""https://us.pandora.net/on/demandware.static/-/Sites-pandora-master-catalog/default/dwbb259ca6/productimages/singlepackshot/599662C00_RGB.png"",""mode"":1}")</f>
        <v>{"url":"https://us.pandora.net/on/demandware.static/-/Sites-pandora-master-catalog/default/dwbb259ca6/productimages/singlepackshot/599662C00_RGB.png","mode":1}</v>
      </c>
      <c r="D2759" s="5" t="str">
        <f ca="1">IFERROR(ROWSDUMMYFUNCTION(IF(A2759="","",CONCATENATE("https://us.pandora.net/on/demandware.static/-/Sites-pandora-master-catalog/default/dwbb259ca6/productimages/singlepackshot/",LEFT(A2759,FIND("-",A2759&amp;"-")-1),"_RGB.png"))),"https://us.pandora.net/on/demandware.static/-/Sites-pandora-master-catalog/default/dwbb259ca6/productimages/singlepackshot/599662C00_RGB.png")</f>
        <v>https://us.pandora.net/on/demandware.static/-/Sites-pandora-master-catalog/default/dwbb259ca6/productimages/singlepackshot/599662C00_RGB.png</v>
      </c>
    </row>
    <row r="2760" spans="1:4" x14ac:dyDescent="0.25">
      <c r="A2760" s="3" t="s">
        <v>2762</v>
      </c>
      <c r="B2760" s="4">
        <v>69</v>
      </c>
      <c r="C2760" s="3" t="str">
        <f ca="1">IFERROR(ROWSDUMMYFUNCTION(IF(A2760="","",IFERROR(IMAGE(CONCATENATE("https://us.pandora.net/on/demandware.static/-/Sites-pandora-master-catalog/default/dwbb259ca6/productimages/singlepackshot/",LEFT(A2760,FIND("-",A2760&amp;"-")-1),"_RGB.png")),""))),"{""url"":""https://us.pandora.net/on/demandware.static/-/Sites-pandora-master-catalog/default/dwbb259ca6/productimages/singlepackshot/599662C00_RGB.png"",""mode"":1}")</f>
        <v>{"url":"https://us.pandora.net/on/demandware.static/-/Sites-pandora-master-catalog/default/dwbb259ca6/productimages/singlepackshot/599662C00_RGB.png","mode":1}</v>
      </c>
      <c r="D2760" s="5" t="str">
        <f ca="1">IFERROR(ROWSDUMMYFUNCTION(IF(A2760="","",CONCATENATE("https://us.pandora.net/on/demandware.static/-/Sites-pandora-master-catalog/default/dwbb259ca6/productimages/singlepackshot/",LEFT(A2760,FIND("-",A2760&amp;"-")-1),"_RGB.png"))),"https://us.pandora.net/on/demandware.static/-/Sites-pandora-master-catalog/default/dwbb259ca6/productimages/singlepackshot/599662C00_RGB.png")</f>
        <v>https://us.pandora.net/on/demandware.static/-/Sites-pandora-master-catalog/default/dwbb259ca6/productimages/singlepackshot/599662C00_RGB.png</v>
      </c>
    </row>
    <row r="2761" spans="1:4" x14ac:dyDescent="0.25">
      <c r="A2761" s="3" t="s">
        <v>2763</v>
      </c>
      <c r="B2761" s="4">
        <v>69</v>
      </c>
      <c r="C2761" s="3" t="str">
        <f ca="1">IFERROR(ROWSDUMMYFUNCTION(IF(A2761="","",IFERROR(IMAGE(CONCATENATE("https://us.pandora.net/on/demandware.static/-/Sites-pandora-master-catalog/default/dwbb259ca6/productimages/singlepackshot/",LEFT(A2761,FIND("-",A2761&amp;"-")-1),"_RGB.png")),""))),"{""url"":""https://us.pandora.net/on/demandware.static/-/Sites-pandora-master-catalog/default/dwbb259ca6/productimages/singlepackshot/599662C00_RGB.png"",""mode"":1}")</f>
        <v>{"url":"https://us.pandora.net/on/demandware.static/-/Sites-pandora-master-catalog/default/dwbb259ca6/productimages/singlepackshot/599662C00_RGB.png","mode":1}</v>
      </c>
      <c r="D2761" s="5" t="str">
        <f ca="1">IFERROR(ROWSDUMMYFUNCTION(IF(A2761="","",CONCATENATE("https://us.pandora.net/on/demandware.static/-/Sites-pandora-master-catalog/default/dwbb259ca6/productimages/singlepackshot/",LEFT(A2761,FIND("-",A2761&amp;"-")-1),"_RGB.png"))),"https://us.pandora.net/on/demandware.static/-/Sites-pandora-master-catalog/default/dwbb259ca6/productimages/singlepackshot/599662C00_RGB.png")</f>
        <v>https://us.pandora.net/on/demandware.static/-/Sites-pandora-master-catalog/default/dwbb259ca6/productimages/singlepackshot/599662C00_RGB.png</v>
      </c>
    </row>
    <row r="2762" spans="1:4" x14ac:dyDescent="0.25">
      <c r="A2762" s="3" t="s">
        <v>2764</v>
      </c>
      <c r="B2762" s="4">
        <v>199</v>
      </c>
      <c r="C2762" s="3" t="str">
        <f ca="1">IFERROR(ROWSDUMMYFUNCTION(IF(A2762="","",IFERROR(IMAGE(CONCATENATE("https://us.pandora.net/on/demandware.static/-/Sites-pandora-master-catalog/default/dwbb259ca6/productimages/singlepackshot/",LEFT(A2762,FIND("-",A2762&amp;"-")-1),"_RGB.png")),""))),"{""url"":""https://us.pandora.net/on/demandware.static/-/Sites-pandora-master-catalog/default/dwbb259ca6/productimages/singlepackshot/752328C00_RGB.png"",""mode"":1}")</f>
        <v>{"url":"https://us.pandora.net/on/demandware.static/-/Sites-pandora-master-catalog/default/dwbb259ca6/productimages/singlepackshot/752328C00_RGB.png","mode":1}</v>
      </c>
      <c r="D2762" s="5" t="str">
        <f ca="1">IFERROR(ROWSDUMMYFUNCTION(IF(A2762="","",CONCATENATE("https://us.pandora.net/on/demandware.static/-/Sites-pandora-master-catalog/default/dwbb259ca6/productimages/singlepackshot/",LEFT(A2762,FIND("-",A2762&amp;"-")-1),"_RGB.png"))),"https://us.pandora.net/on/demandware.static/-/Sites-pandora-master-catalog/default/dwbb259ca6/productimages/singlepackshot/752328C00_RGB.png")</f>
        <v>https://us.pandora.net/on/demandware.static/-/Sites-pandora-master-catalog/default/dwbb259ca6/productimages/singlepackshot/752328C00_RGB.png</v>
      </c>
    </row>
    <row r="2763" spans="1:4" x14ac:dyDescent="0.25">
      <c r="A2763" s="3" t="s">
        <v>2765</v>
      </c>
      <c r="B2763" s="4">
        <v>279</v>
      </c>
      <c r="C2763" s="3" t="str">
        <f ca="1">IFERROR(ROWSDUMMYFUNCTION(IF(A2763="","",IFERROR(IMAGE(CONCATENATE("https://us.pandora.net/on/demandware.static/-/Sites-pandora-master-catalog/default/dwbb259ca6/productimages/singlepackshot/",LEFT(A2763,FIND("-",A2763&amp;"-")-1),"_RGB.png")),""))),"{""url"":""https://us.pandora.net/on/demandware.static/-/Sites-pandora-master-catalog/default/dwbb259ca6/productimages/singlepackshot/752337C01_RGB.png"",""mode"":1}")</f>
        <v>{"url":"https://us.pandora.net/on/demandware.static/-/Sites-pandora-master-catalog/default/dwbb259ca6/productimages/singlepackshot/752337C01_RGB.png","mode":1}</v>
      </c>
      <c r="D2763" s="5" t="str">
        <f ca="1">IFERROR(ROWSDUMMYFUNCTION(IF(A2763="","",CONCATENATE("https://us.pandora.net/on/demandware.static/-/Sites-pandora-master-catalog/default/dwbb259ca6/productimages/singlepackshot/",LEFT(A2763,FIND("-",A2763&amp;"-")-1),"_RGB.png"))),"https://us.pandora.net/on/demandware.static/-/Sites-pandora-master-catalog/default/dwbb259ca6/productimages/singlepackshot/752337C01_RGB.png")</f>
        <v>https://us.pandora.net/on/demandware.static/-/Sites-pandora-master-catalog/default/dwbb259ca6/productimages/singlepackshot/752337C01_RGB.png</v>
      </c>
    </row>
    <row r="2764" spans="1:4" x14ac:dyDescent="0.25">
      <c r="A2764" s="3" t="s">
        <v>2766</v>
      </c>
      <c r="B2764" s="4">
        <v>329</v>
      </c>
      <c r="C2764" s="3" t="str">
        <f ca="1">IFERROR(ROWSDUMMYFUNCTION(IF(A2764="","",IFERROR(IMAGE(CONCATENATE("https://us.pandora.net/on/demandware.static/-/Sites-pandora-master-catalog/default/dwbb259ca6/productimages/singlepackshot/",LEFT(A2764,FIND("-",A2764&amp;"-")-1),"_RGB.png")),""))),"{""url"":""https://us.pandora.net/on/demandware.static/-/Sites-pandora-master-catalog/default/dwbb259ca6/productimages/singlepackshot/752604C01_RGB.png"",""mode"":1}")</f>
        <v>{"url":"https://us.pandora.net/on/demandware.static/-/Sites-pandora-master-catalog/default/dwbb259ca6/productimages/singlepackshot/752604C01_RGB.png","mode":1}</v>
      </c>
      <c r="D2764" s="5" t="str">
        <f ca="1">IFERROR(ROWSDUMMYFUNCTION(IF(A2764="","",CONCATENATE("https://us.pandora.net/on/demandware.static/-/Sites-pandora-master-catalog/default/dwbb259ca6/productimages/singlepackshot/",LEFT(A2764,FIND("-",A2764&amp;"-")-1),"_RGB.png"))),"https://us.pandora.net/on/demandware.static/-/Sites-pandora-master-catalog/default/dwbb259ca6/productimages/singlepackshot/752604C01_RGB.png")</f>
        <v>https://us.pandora.net/on/demandware.static/-/Sites-pandora-master-catalog/default/dwbb259ca6/productimages/singlepackshot/752604C01_RGB.png</v>
      </c>
    </row>
    <row r="2765" spans="1:4" x14ac:dyDescent="0.25">
      <c r="A2765" s="3" t="s">
        <v>2767</v>
      </c>
      <c r="B2765" s="4">
        <v>399</v>
      </c>
      <c r="C2765" s="3" t="str">
        <f ca="1">IFERROR(ROWSDUMMYFUNCTION(IF(A2765="","",IFERROR(IMAGE(CONCATENATE("https://us.pandora.net/on/demandware.static/-/Sites-pandora-master-catalog/default/dwbb259ca6/productimages/singlepackshot/",LEFT(A2765,FIND("-",A2765&amp;"-")-1),"_RGB.png")),""))),"{""url"":""https://us.pandora.net/on/demandware.static/-/Sites-pandora-master-catalog/default/dwbb259ca6/productimages/singlepackshot/752605C01_RGB.png"",""mode"":1}")</f>
        <v>{"url":"https://us.pandora.net/on/demandware.static/-/Sites-pandora-master-catalog/default/dwbb259ca6/productimages/singlepackshot/752605C01_RGB.png","mode":1}</v>
      </c>
      <c r="D2765" s="5" t="str">
        <f ca="1">IFERROR(ROWSDUMMYFUNCTION(IF(A2765="","",CONCATENATE("https://us.pandora.net/on/demandware.static/-/Sites-pandora-master-catalog/default/dwbb259ca6/productimages/singlepackshot/",LEFT(A2765,FIND("-",A2765&amp;"-")-1),"_RGB.png"))),"https://us.pandora.net/on/demandware.static/-/Sites-pandora-master-catalog/default/dwbb259ca6/productimages/singlepackshot/752605C01_RGB.png")</f>
        <v>https://us.pandora.net/on/demandware.static/-/Sites-pandora-master-catalog/default/dwbb259ca6/productimages/singlepackshot/752605C01_RGB.png</v>
      </c>
    </row>
    <row r="2766" spans="1:4" x14ac:dyDescent="0.25">
      <c r="A2766" s="3" t="s">
        <v>2768</v>
      </c>
      <c r="B2766" s="4">
        <v>329</v>
      </c>
      <c r="C2766" s="3" t="str">
        <f ca="1">IFERROR(ROWSDUMMYFUNCTION(IF(A2766="","",IFERROR(IMAGE(CONCATENATE("https://us.pandora.net/on/demandware.static/-/Sites-pandora-master-catalog/default/dwbb259ca6/productimages/singlepackshot/",LEFT(A2766,FIND("-",A2766&amp;"-")-1),"_RGB.png")),""))),"{""url"":""https://us.pandora.net/on/demandware.static/-/Sites-pandora-master-catalog/default/dwbb259ca6/productimages/singlepackshot/752636C01_RGB.png"",""mode"":1}")</f>
        <v>{"url":"https://us.pandora.net/on/demandware.static/-/Sites-pandora-master-catalog/default/dwbb259ca6/productimages/singlepackshot/752636C01_RGB.png","mode":1}</v>
      </c>
      <c r="D2766" s="5" t="str">
        <f ca="1">IFERROR(ROWSDUMMYFUNCTION(IF(A2766="","",CONCATENATE("https://us.pandora.net/on/demandware.static/-/Sites-pandora-master-catalog/default/dwbb259ca6/productimages/singlepackshot/",LEFT(A2766,FIND("-",A2766&amp;"-")-1),"_RGB.png"))),"https://us.pandora.net/on/demandware.static/-/Sites-pandora-master-catalog/default/dwbb259ca6/productimages/singlepackshot/752636C01_RGB.png")</f>
        <v>https://us.pandora.net/on/demandware.static/-/Sites-pandora-master-catalog/default/dwbb259ca6/productimages/singlepackshot/752636C01_RGB.png</v>
      </c>
    </row>
    <row r="2767" spans="1:4" x14ac:dyDescent="0.25">
      <c r="A2767" s="3" t="s">
        <v>2769</v>
      </c>
      <c r="B2767" s="4">
        <v>39</v>
      </c>
      <c r="C2767" s="3" t="str">
        <f ca="1">IFERROR(ROWSDUMMYFUNCTION(IF(A2767="","",IFERROR(IMAGE(CONCATENATE("https://us.pandora.net/on/demandware.static/-/Sites-pandora-master-catalog/default/dwbb259ca6/productimages/singlepackshot/",LEFT(A2767,FIND("-",A2767&amp;"-")-1),"_RGB.png")),""))),"{""url"":""https://us.pandora.net/on/demandware.static/-/Sites-pandora-master-catalog/default/dwbb259ca6/productimages/singlepackshot/760081C00_RGB.png"",""mode"":1}")</f>
        <v>{"url":"https://us.pandora.net/on/demandware.static/-/Sites-pandora-master-catalog/default/dwbb259ca6/productimages/singlepackshot/760081C00_RGB.png","mode":1}</v>
      </c>
      <c r="D2767" s="5" t="str">
        <f ca="1">IFERROR(ROWSDUMMYFUNCTION(IF(A2767="","",CONCATENATE("https://us.pandora.net/on/demandware.static/-/Sites-pandora-master-catalog/default/dwbb259ca6/productimages/singlepackshot/",LEFT(A2767,FIND("-",A2767&amp;"-")-1),"_RGB.png"))),"https://us.pandora.net/on/demandware.static/-/Sites-pandora-master-catalog/default/dwbb259ca6/productimages/singlepackshot/760081C00_RGB.png")</f>
        <v>https://us.pandora.net/on/demandware.static/-/Sites-pandora-master-catalog/default/dwbb259ca6/productimages/singlepackshot/760081C00_RGB.png</v>
      </c>
    </row>
    <row r="2768" spans="1:4" x14ac:dyDescent="0.25">
      <c r="A2768" s="3" t="s">
        <v>2770</v>
      </c>
      <c r="B2768" s="4">
        <v>79</v>
      </c>
      <c r="C2768" s="3" t="str">
        <f ca="1">IFERROR(ROWSDUMMYFUNCTION(IF(A2768="","",IFERROR(IMAGE(CONCATENATE("https://us.pandora.net/on/demandware.static/-/Sites-pandora-master-catalog/default/dwbb259ca6/productimages/singlepackshot/",LEFT(A2768,FIND("-",A2768&amp;"-")-1),"_RGB.png")),""))),"{""url"":""https://us.pandora.net/on/demandware.static/-/Sites-pandora-master-catalog/default/dwbb259ca6/productimages/singlepackshot/760088C01_RGB.png"",""mode"":1}")</f>
        <v>{"url":"https://us.pandora.net/on/demandware.static/-/Sites-pandora-master-catalog/default/dwbb259ca6/productimages/singlepackshot/760088C01_RGB.png","mode":1}</v>
      </c>
      <c r="D2768" s="5" t="str">
        <f ca="1">IFERROR(ROWSDUMMYFUNCTION(IF(A2768="","",CONCATENATE("https://us.pandora.net/on/demandware.static/-/Sites-pandora-master-catalog/default/dwbb259ca6/productimages/singlepackshot/",LEFT(A2768,FIND("-",A2768&amp;"-")-1),"_RGB.png"))),"https://us.pandora.net/on/demandware.static/-/Sites-pandora-master-catalog/default/dwbb259ca6/productimages/singlepackshot/760088C01_RGB.png")</f>
        <v>https://us.pandora.net/on/demandware.static/-/Sites-pandora-master-catalog/default/dwbb259ca6/productimages/singlepackshot/760088C01_RGB.png</v>
      </c>
    </row>
    <row r="2769" spans="1:4" x14ac:dyDescent="0.25">
      <c r="A2769" s="3" t="s">
        <v>2771</v>
      </c>
      <c r="B2769" s="4">
        <v>89</v>
      </c>
      <c r="C2769" s="3" t="str">
        <f ca="1">IFERROR(ROWSDUMMYFUNCTION(IF(A2769="","",IFERROR(IMAGE(CONCATENATE("https://us.pandora.net/on/demandware.static/-/Sites-pandora-master-catalog/default/dwbb259ca6/productimages/singlepackshot/",LEFT(A2769,FIND("-",A2769&amp;"-")-1),"_RGB.png")),""))),"{""url"":""https://us.pandora.net/on/demandware.static/-/Sites-pandora-master-catalog/default/dwbb259ca6/productimages/singlepackshot/760268C01_RGB.png"",""mode"":1}")</f>
        <v>{"url":"https://us.pandora.net/on/demandware.static/-/Sites-pandora-master-catalog/default/dwbb259ca6/productimages/singlepackshot/760268C01_RGB.png","mode":1}</v>
      </c>
      <c r="D2769" s="5" t="str">
        <f ca="1">IFERROR(ROWSDUMMYFUNCTION(IF(A2769="","",CONCATENATE("https://us.pandora.net/on/demandware.static/-/Sites-pandora-master-catalog/default/dwbb259ca6/productimages/singlepackshot/",LEFT(A2769,FIND("-",A2769&amp;"-")-1),"_RGB.png"))),"https://us.pandora.net/on/demandware.static/-/Sites-pandora-master-catalog/default/dwbb259ca6/productimages/singlepackshot/760268C01_RGB.png")</f>
        <v>https://us.pandora.net/on/demandware.static/-/Sites-pandora-master-catalog/default/dwbb259ca6/productimages/singlepackshot/760268C01_RGB.png</v>
      </c>
    </row>
    <row r="2770" spans="1:4" x14ac:dyDescent="0.25">
      <c r="A2770" s="3" t="s">
        <v>2772</v>
      </c>
      <c r="B2770" s="4">
        <v>89</v>
      </c>
      <c r="C2770" s="3" t="str">
        <f ca="1">IFERROR(ROWSDUMMYFUNCTION(IF(A2770="","",IFERROR(IMAGE(CONCATENATE("https://us.pandora.net/on/demandware.static/-/Sites-pandora-master-catalog/default/dwbb259ca6/productimages/singlepackshot/",LEFT(A2770,FIND("-",A2770&amp;"-")-1),"_RGB.png")),""))),"{""url"":""https://us.pandora.net/on/demandware.static/-/Sites-pandora-master-catalog/default/dwbb259ca6/productimages/singlepackshot/760667C01_RGB.png"",""mode"":1}")</f>
        <v>{"url":"https://us.pandora.net/on/demandware.static/-/Sites-pandora-master-catalog/default/dwbb259ca6/productimages/singlepackshot/760667C01_RGB.png","mode":1}</v>
      </c>
      <c r="D2770" s="5" t="str">
        <f ca="1">IFERROR(ROWSDUMMYFUNCTION(IF(A2770="","",CONCATENATE("https://us.pandora.net/on/demandware.static/-/Sites-pandora-master-catalog/default/dwbb259ca6/productimages/singlepackshot/",LEFT(A2770,FIND("-",A2770&amp;"-")-1),"_RGB.png"))),"https://us.pandora.net/on/demandware.static/-/Sites-pandora-master-catalog/default/dwbb259ca6/productimages/singlepackshot/760667C01_RGB.png")</f>
        <v>https://us.pandora.net/on/demandware.static/-/Sites-pandora-master-catalog/default/dwbb259ca6/productimages/singlepackshot/760667C01_RGB.png</v>
      </c>
    </row>
    <row r="2771" spans="1:4" x14ac:dyDescent="0.25">
      <c r="A2771" s="3" t="s">
        <v>2773</v>
      </c>
      <c r="B2771" s="4">
        <v>65</v>
      </c>
      <c r="C2771" s="3" t="str">
        <f ca="1">IFERROR(ROWSDUMMYFUNCTION(IF(A2771="","",IFERROR(IMAGE(CONCATENATE("https://us.pandora.net/on/demandware.static/-/Sites-pandora-master-catalog/default/dwbb259ca6/productimages/singlepackshot/",LEFT(A2771,FIND("-",A2771&amp;"-")-1),"_RGB.png")),""))),"{""url"":""https://us.pandora.net/on/demandware.static/-/Sites-pandora-master-catalog/default/dwbb259ca6/productimages/singlepackshot/760765C01_RGB.png"",""mode"":1}")</f>
        <v>{"url":"https://us.pandora.net/on/demandware.static/-/Sites-pandora-master-catalog/default/dwbb259ca6/productimages/singlepackshot/760765C01_RGB.png","mode":1}</v>
      </c>
      <c r="D2771" s="5" t="str">
        <f ca="1">IFERROR(ROWSDUMMYFUNCTION(IF(A2771="","",CONCATENATE("https://us.pandora.net/on/demandware.static/-/Sites-pandora-master-catalog/default/dwbb259ca6/productimages/singlepackshot/",LEFT(A2771,FIND("-",A2771&amp;"-")-1),"_RGB.png"))),"https://us.pandora.net/on/demandware.static/-/Sites-pandora-master-catalog/default/dwbb259ca6/productimages/singlepackshot/760765C01_RGB.png")</f>
        <v>https://us.pandora.net/on/demandware.static/-/Sites-pandora-master-catalog/default/dwbb259ca6/productimages/singlepackshot/760765C01_RGB.png</v>
      </c>
    </row>
    <row r="2772" spans="1:4" x14ac:dyDescent="0.25">
      <c r="A2772" s="3" t="s">
        <v>2774</v>
      </c>
      <c r="B2772" s="4">
        <v>39</v>
      </c>
      <c r="C2772" s="3" t="str">
        <f ca="1">IFERROR(ROWSDUMMYFUNCTION(IF(A2772="","",IFERROR(IMAGE(CONCATENATE("https://us.pandora.net/on/demandware.static/-/Sites-pandora-master-catalog/default/dwbb259ca6/productimages/singlepackshot/",LEFT(A2772,FIND("-",A2772&amp;"-")-1),"_RGB.png")),""))),"{""url"":""https://us.pandora.net/on/demandware.static/-/Sites-pandora-master-catalog/default/dwbb259ca6/productimages/singlepackshot/760964C00_RGB.png"",""mode"":1}")</f>
        <v>{"url":"https://us.pandora.net/on/demandware.static/-/Sites-pandora-master-catalog/default/dwbb259ca6/productimages/singlepackshot/760964C00_RGB.png","mode":1}</v>
      </c>
      <c r="D2772" s="5" t="str">
        <f ca="1">IFERROR(ROWSDUMMYFUNCTION(IF(A2772="","",CONCATENATE("https://us.pandora.net/on/demandware.static/-/Sites-pandora-master-catalog/default/dwbb259ca6/productimages/singlepackshot/",LEFT(A2772,FIND("-",A2772&amp;"-")-1),"_RGB.png"))),"https://us.pandora.net/on/demandware.static/-/Sites-pandora-master-catalog/default/dwbb259ca6/productimages/singlepackshot/760964C00_RGB.png")</f>
        <v>https://us.pandora.net/on/demandware.static/-/Sites-pandora-master-catalog/default/dwbb259ca6/productimages/singlepackshot/760964C00_RGB.png</v>
      </c>
    </row>
    <row r="2773" spans="1:4" x14ac:dyDescent="0.25">
      <c r="A2773" s="3" t="s">
        <v>2775</v>
      </c>
      <c r="B2773" s="4">
        <v>69</v>
      </c>
      <c r="C2773" s="3" t="str">
        <f ca="1">IFERROR(ROWSDUMMYFUNCTION(IF(A2773="","",IFERROR(IMAGE(CONCATENATE("https://us.pandora.net/on/demandware.static/-/Sites-pandora-master-catalog/default/dwbb259ca6/productimages/singlepackshot/",LEFT(A2773,FIND("-",A2773&amp;"-")-1),"_RGB.png")),""))),"{""url"":""https://us.pandora.net/on/demandware.static/-/Sites-pandora-master-catalog/default/dwbb259ca6/productimages/singlepackshot/761892C00_RGB.png"",""mode"":1}")</f>
        <v>{"url":"https://us.pandora.net/on/demandware.static/-/Sites-pandora-master-catalog/default/dwbb259ca6/productimages/singlepackshot/761892C00_RGB.png","mode":1}</v>
      </c>
      <c r="D2773" s="5" t="str">
        <f ca="1">IFERROR(ROWSDUMMYFUNCTION(IF(A2773="","",CONCATENATE("https://us.pandora.net/on/demandware.static/-/Sites-pandora-master-catalog/default/dwbb259ca6/productimages/singlepackshot/",LEFT(A2773,FIND("-",A2773&amp;"-")-1),"_RGB.png"))),"https://us.pandora.net/on/demandware.static/-/Sites-pandora-master-catalog/default/dwbb259ca6/productimages/singlepackshot/761892C00_RGB.png")</f>
        <v>https://us.pandora.net/on/demandware.static/-/Sites-pandora-master-catalog/default/dwbb259ca6/productimages/singlepackshot/761892C00_RGB.png</v>
      </c>
    </row>
    <row r="2774" spans="1:4" x14ac:dyDescent="0.25">
      <c r="A2774" s="3" t="s">
        <v>2776</v>
      </c>
      <c r="B2774" s="4">
        <v>59</v>
      </c>
      <c r="C2774" s="3" t="str">
        <f ca="1">IFERROR(ROWSDUMMYFUNCTION(IF(A2774="","",IFERROR(IMAGE(CONCATENATE("https://us.pandora.net/on/demandware.static/-/Sites-pandora-master-catalog/default/dwbb259ca6/productimages/singlepackshot/",LEFT(A2774,FIND("-",A2774&amp;"-")-1),"_RGB.png")),""))),"{""url"":""https://us.pandora.net/on/demandware.static/-/Sites-pandora-master-catalog/default/dwbb259ca6/productimages/singlepackshot/761972C01_RGB.png"",""mode"":1}")</f>
        <v>{"url":"https://us.pandora.net/on/demandware.static/-/Sites-pandora-master-catalog/default/dwbb259ca6/productimages/singlepackshot/761972C01_RGB.png","mode":1}</v>
      </c>
      <c r="D2774" s="5" t="str">
        <f ca="1">IFERROR(ROWSDUMMYFUNCTION(IF(A2774="","",CONCATENATE("https://us.pandora.net/on/demandware.static/-/Sites-pandora-master-catalog/default/dwbb259ca6/productimages/singlepackshot/",LEFT(A2774,FIND("-",A2774&amp;"-")-1),"_RGB.png"))),"https://us.pandora.net/on/demandware.static/-/Sites-pandora-master-catalog/default/dwbb259ca6/productimages/singlepackshot/761972C01_RGB.png")</f>
        <v>https://us.pandora.net/on/demandware.static/-/Sites-pandora-master-catalog/default/dwbb259ca6/productimages/singlepackshot/761972C01_RGB.png</v>
      </c>
    </row>
    <row r="2775" spans="1:4" x14ac:dyDescent="0.25">
      <c r="A2775" s="3" t="s">
        <v>2777</v>
      </c>
      <c r="B2775" s="4">
        <v>59</v>
      </c>
      <c r="C2775" s="3" t="str">
        <f ca="1">IFERROR(ROWSDUMMYFUNCTION(IF(A2775="","",IFERROR(IMAGE(CONCATENATE("https://us.pandora.net/on/demandware.static/-/Sites-pandora-master-catalog/default/dwbb259ca6/productimages/singlepackshot/",LEFT(A2775,FIND("-",A2775&amp;"-")-1),"_RGB.png")),""))),"{""url"":""https://us.pandora.net/on/demandware.static/-/Sites-pandora-master-catalog/default/dwbb259ca6/productimages/singlepackshot/762015C00_RGB.png"",""mode"":1}")</f>
        <v>{"url":"https://us.pandora.net/on/demandware.static/-/Sites-pandora-master-catalog/default/dwbb259ca6/productimages/singlepackshot/762015C00_RGB.png","mode":1}</v>
      </c>
      <c r="D2775" s="5" t="str">
        <f ca="1">IFERROR(ROWSDUMMYFUNCTION(IF(A2775="","",CONCATENATE("https://us.pandora.net/on/demandware.static/-/Sites-pandora-master-catalog/default/dwbb259ca6/productimages/singlepackshot/",LEFT(A2775,FIND("-",A2775&amp;"-")-1),"_RGB.png"))),"https://us.pandora.net/on/demandware.static/-/Sites-pandora-master-catalog/default/dwbb259ca6/productimages/singlepackshot/762015C00_RGB.png")</f>
        <v>https://us.pandora.net/on/demandware.static/-/Sites-pandora-master-catalog/default/dwbb259ca6/productimages/singlepackshot/762015C00_RGB.png</v>
      </c>
    </row>
    <row r="2776" spans="1:4" x14ac:dyDescent="0.25">
      <c r="A2776" s="3" t="s">
        <v>2778</v>
      </c>
      <c r="B2776" s="4">
        <v>69</v>
      </c>
      <c r="C2776" s="3" t="str">
        <f ca="1">IFERROR(ROWSDUMMYFUNCTION(IF(A2776="","",IFERROR(IMAGE(CONCATENATE("https://us.pandora.net/on/demandware.static/-/Sites-pandora-master-catalog/default/dwbb259ca6/productimages/singlepackshot/",LEFT(A2776,FIND("-",A2776&amp;"-")-1),"_RGB.png")),""))),"{""url"":""https://us.pandora.net/on/demandware.static/-/Sites-pandora-master-catalog/default/dwbb259ca6/productimages/singlepackshot/762201C01_RGB.png"",""mode"":1}")</f>
        <v>{"url":"https://us.pandora.net/on/demandware.static/-/Sites-pandora-master-catalog/default/dwbb259ca6/productimages/singlepackshot/762201C01_RGB.png","mode":1}</v>
      </c>
      <c r="D2776" s="5" t="str">
        <f ca="1">IFERROR(ROWSDUMMYFUNCTION(IF(A2776="","",CONCATENATE("https://us.pandora.net/on/demandware.static/-/Sites-pandora-master-catalog/default/dwbb259ca6/productimages/singlepackshot/",LEFT(A2776,FIND("-",A2776&amp;"-")-1),"_RGB.png"))),"https://us.pandora.net/on/demandware.static/-/Sites-pandora-master-catalog/default/dwbb259ca6/productimages/singlepackshot/762201C01_RGB.png")</f>
        <v>https://us.pandora.net/on/demandware.static/-/Sites-pandora-master-catalog/default/dwbb259ca6/productimages/singlepackshot/762201C01_RGB.png</v>
      </c>
    </row>
    <row r="2777" spans="1:4" x14ac:dyDescent="0.25">
      <c r="A2777" s="3" t="s">
        <v>2779</v>
      </c>
      <c r="B2777" s="4">
        <v>89</v>
      </c>
      <c r="C2777" s="3" t="str">
        <f ca="1">IFERROR(ROWSDUMMYFUNCTION(IF(A2777="","",IFERROR(IMAGE(CONCATENATE("https://us.pandora.net/on/demandware.static/-/Sites-pandora-master-catalog/default/dwbb259ca6/productimages/singlepackshot/",LEFT(A2777,FIND("-",A2777&amp;"-")-1),"_RGB.png")),""))),"{""url"":""https://us.pandora.net/on/demandware.static/-/Sites-pandora-master-catalog/default/dwbb259ca6/productimages/singlepackshot/762212C01_RGB.png"",""mode"":1}")</f>
        <v>{"url":"https://us.pandora.net/on/demandware.static/-/Sites-pandora-master-catalog/default/dwbb259ca6/productimages/singlepackshot/762212C01_RGB.png","mode":1}</v>
      </c>
      <c r="D2777" s="5" t="str">
        <f ca="1">IFERROR(ROWSDUMMYFUNCTION(IF(A2777="","",CONCATENATE("https://us.pandora.net/on/demandware.static/-/Sites-pandora-master-catalog/default/dwbb259ca6/productimages/singlepackshot/",LEFT(A2777,FIND("-",A2777&amp;"-")-1),"_RGB.png"))),"https://us.pandora.net/on/demandware.static/-/Sites-pandora-master-catalog/default/dwbb259ca6/productimages/singlepackshot/762212C01_RGB.png")</f>
        <v>https://us.pandora.net/on/demandware.static/-/Sites-pandora-master-catalog/default/dwbb259ca6/productimages/singlepackshot/762212C01_RGB.png</v>
      </c>
    </row>
    <row r="2778" spans="1:4" x14ac:dyDescent="0.25">
      <c r="A2778" s="3" t="s">
        <v>2780</v>
      </c>
      <c r="B2778" s="4">
        <v>69</v>
      </c>
      <c r="C2778" s="3" t="str">
        <f ca="1">IFERROR(ROWSDUMMYFUNCTION(IF(A2778="","",IFERROR(IMAGE(CONCATENATE("https://us.pandora.net/on/demandware.static/-/Sites-pandora-master-catalog/default/dwbb259ca6/productimages/singlepackshot/",LEFT(A2778,FIND("-",A2778&amp;"-")-1),"_RGB.png")),""))),"{""url"":""https://us.pandora.net/on/demandware.static/-/Sites-pandora-master-catalog/default/dwbb259ca6/productimages/singlepackshot/762470C01_RGB.png"",""mode"":1}")</f>
        <v>{"url":"https://us.pandora.net/on/demandware.static/-/Sites-pandora-master-catalog/default/dwbb259ca6/productimages/singlepackshot/762470C01_RGB.png","mode":1}</v>
      </c>
      <c r="D2778" s="5" t="str">
        <f ca="1">IFERROR(ROWSDUMMYFUNCTION(IF(A2778="","",CONCATENATE("https://us.pandora.net/on/demandware.static/-/Sites-pandora-master-catalog/default/dwbb259ca6/productimages/singlepackshot/",LEFT(A2778,FIND("-",A2778&amp;"-")-1),"_RGB.png"))),"https://us.pandora.net/on/demandware.static/-/Sites-pandora-master-catalog/default/dwbb259ca6/productimages/singlepackshot/762470C01_RGB.png")</f>
        <v>https://us.pandora.net/on/demandware.static/-/Sites-pandora-master-catalog/default/dwbb259ca6/productimages/singlepackshot/762470C01_RGB.png</v>
      </c>
    </row>
    <row r="2779" spans="1:4" x14ac:dyDescent="0.25">
      <c r="A2779" s="3" t="s">
        <v>2781</v>
      </c>
      <c r="B2779" s="4">
        <v>69</v>
      </c>
      <c r="C2779" s="3" t="str">
        <f ca="1">IFERROR(ROWSDUMMYFUNCTION(IF(A2779="","",IFERROR(IMAGE(CONCATENATE("https://us.pandora.net/on/demandware.static/-/Sites-pandora-master-catalog/default/dwbb259ca6/productimages/singlepackshot/",LEFT(A2779,FIND("-",A2779&amp;"-")-1),"_RGB.png")),""))),"{""url"":""https://us.pandora.net/on/demandware.static/-/Sites-pandora-master-catalog/default/dwbb259ca6/productimages/singlepackshot/762517C01_RGB.png"",""mode"":1}")</f>
        <v>{"url":"https://us.pandora.net/on/demandware.static/-/Sites-pandora-master-catalog/default/dwbb259ca6/productimages/singlepackshot/762517C01_RGB.png","mode":1}</v>
      </c>
      <c r="D2779" s="5" t="str">
        <f ca="1">IFERROR(ROWSDUMMYFUNCTION(IF(A2779="","",CONCATENATE("https://us.pandora.net/on/demandware.static/-/Sites-pandora-master-catalog/default/dwbb259ca6/productimages/singlepackshot/",LEFT(A2779,FIND("-",A2779&amp;"-")-1),"_RGB.png"))),"https://us.pandora.net/on/demandware.static/-/Sites-pandora-master-catalog/default/dwbb259ca6/productimages/singlepackshot/762517C01_RGB.png")</f>
        <v>https://us.pandora.net/on/demandware.static/-/Sites-pandora-master-catalog/default/dwbb259ca6/productimages/singlepackshot/762517C01_RGB.png</v>
      </c>
    </row>
    <row r="2780" spans="1:4" x14ac:dyDescent="0.25">
      <c r="A2780" s="3" t="s">
        <v>2782</v>
      </c>
      <c r="B2780" s="4">
        <v>55</v>
      </c>
      <c r="C2780" s="3" t="str">
        <f ca="1">IFERROR(ROWSDUMMYFUNCTION(IF(A2780="","",IFERROR(IMAGE(CONCATENATE("https://us.pandora.net/on/demandware.static/-/Sites-pandora-master-catalog/default/dwbb259ca6/productimages/singlepackshot/",LEFT(A2780,FIND("-",A2780&amp;"-")-1),"_RGB.png")),""))),"{""url"":""https://us.pandora.net/on/demandware.static/-/Sites-pandora-master-catalog/default/dwbb259ca6/productimages/singlepackshot/762526C00_RGB.png"",""mode"":1}")</f>
        <v>{"url":"https://us.pandora.net/on/demandware.static/-/Sites-pandora-master-catalog/default/dwbb259ca6/productimages/singlepackshot/762526C00_RGB.png","mode":1}</v>
      </c>
      <c r="D2780" s="5" t="str">
        <f ca="1">IFERROR(ROWSDUMMYFUNCTION(IF(A2780="","",CONCATENATE("https://us.pandora.net/on/demandware.static/-/Sites-pandora-master-catalog/default/dwbb259ca6/productimages/singlepackshot/",LEFT(A2780,FIND("-",A2780&amp;"-")-1),"_RGB.png"))),"https://us.pandora.net/on/demandware.static/-/Sites-pandora-master-catalog/default/dwbb259ca6/productimages/singlepackshot/762526C00_RGB.png")</f>
        <v>https://us.pandora.net/on/demandware.static/-/Sites-pandora-master-catalog/default/dwbb259ca6/productimages/singlepackshot/762526C00_RGB.png</v>
      </c>
    </row>
    <row r="2781" spans="1:4" x14ac:dyDescent="0.25">
      <c r="A2781" s="3" t="s">
        <v>2783</v>
      </c>
      <c r="B2781" s="4">
        <v>89</v>
      </c>
      <c r="C2781" s="3" t="str">
        <f ca="1">IFERROR(ROWSDUMMYFUNCTION(IF(A2781="","",IFERROR(IMAGE(CONCATENATE("https://us.pandora.net/on/demandware.static/-/Sites-pandora-master-catalog/default/dwbb259ca6/productimages/singlepackshot/",LEFT(A2781,FIND("-",A2781&amp;"-")-1),"_RGB.png")),""))),"{""url"":""https://us.pandora.net/on/demandware.static/-/Sites-pandora-master-catalog/default/dwbb259ca6/productimages/singlepackshot/762536C00_RGB.png"",""mode"":1}")</f>
        <v>{"url":"https://us.pandora.net/on/demandware.static/-/Sites-pandora-master-catalog/default/dwbb259ca6/productimages/singlepackshot/762536C00_RGB.png","mode":1}</v>
      </c>
      <c r="D2781" s="5" t="str">
        <f ca="1">IFERROR(ROWSDUMMYFUNCTION(IF(A2781="","",CONCATENATE("https://us.pandora.net/on/demandware.static/-/Sites-pandora-master-catalog/default/dwbb259ca6/productimages/singlepackshot/",LEFT(A2781,FIND("-",A2781&amp;"-")-1),"_RGB.png"))),"https://us.pandora.net/on/demandware.static/-/Sites-pandora-master-catalog/default/dwbb259ca6/productimages/singlepackshot/762536C00_RGB.png")</f>
        <v>https://us.pandora.net/on/demandware.static/-/Sites-pandora-master-catalog/default/dwbb259ca6/productimages/singlepackshot/762536C00_RGB.png</v>
      </c>
    </row>
    <row r="2782" spans="1:4" x14ac:dyDescent="0.25">
      <c r="A2782" s="3" t="s">
        <v>2784</v>
      </c>
      <c r="B2782" s="4">
        <v>49</v>
      </c>
      <c r="C2782" s="3" t="str">
        <f ca="1">IFERROR(ROWSDUMMYFUNCTION(IF(A2782="","",IFERROR(IMAGE(CONCATENATE("https://us.pandora.net/on/demandware.static/-/Sites-pandora-master-catalog/default/dwbb259ca6/productimages/singlepackshot/",LEFT(A2782,FIND("-",A2782&amp;"-")-1),"_RGB.png")),""))),"{""url"":""https://us.pandora.net/on/demandware.static/-/Sites-pandora-master-catalog/default/dwbb259ca6/productimages/singlepackshot/762606C01_RGB.png"",""mode"":1}")</f>
        <v>{"url":"https://us.pandora.net/on/demandware.static/-/Sites-pandora-master-catalog/default/dwbb259ca6/productimages/singlepackshot/762606C01_RGB.png","mode":1}</v>
      </c>
      <c r="D2782" s="5" t="str">
        <f ca="1">IFERROR(ROWSDUMMYFUNCTION(IF(A2782="","",CONCATENATE("https://us.pandora.net/on/demandware.static/-/Sites-pandora-master-catalog/default/dwbb259ca6/productimages/singlepackshot/",LEFT(A2782,FIND("-",A2782&amp;"-")-1),"_RGB.png"))),"https://us.pandora.net/on/demandware.static/-/Sites-pandora-master-catalog/default/dwbb259ca6/productimages/singlepackshot/762606C01_RGB.png")</f>
        <v>https://us.pandora.net/on/demandware.static/-/Sites-pandora-master-catalog/default/dwbb259ca6/productimages/singlepackshot/762606C01_RGB.png</v>
      </c>
    </row>
    <row r="2783" spans="1:4" x14ac:dyDescent="0.25">
      <c r="A2783" s="3" t="s">
        <v>2785</v>
      </c>
      <c r="B2783" s="4">
        <v>79</v>
      </c>
      <c r="C2783" s="3" t="str">
        <f ca="1">IFERROR(ROWSDUMMYFUNCTION(IF(A2783="","",IFERROR(IMAGE(CONCATENATE("https://us.pandora.net/on/demandware.static/-/Sites-pandora-master-catalog/default/dwbb259ca6/productimages/singlepackshot/",LEFT(A2783,FIND("-",A2783&amp;"-")-1),"_RGB.png")),""))),"{""url"":""https://us.pandora.net/on/demandware.static/-/Sites-pandora-master-catalog/default/dwbb259ca6/productimages/singlepackshot/762672C01_RGB.png"",""mode"":1}")</f>
        <v>{"url":"https://us.pandora.net/on/demandware.static/-/Sites-pandora-master-catalog/default/dwbb259ca6/productimages/singlepackshot/762672C01_RGB.png","mode":1}</v>
      </c>
      <c r="D2783" s="5" t="str">
        <f ca="1">IFERROR(ROWSDUMMYFUNCTION(IF(A2783="","",CONCATENATE("https://us.pandora.net/on/demandware.static/-/Sites-pandora-master-catalog/default/dwbb259ca6/productimages/singlepackshot/",LEFT(A2783,FIND("-",A2783&amp;"-")-1),"_RGB.png"))),"https://us.pandora.net/on/demandware.static/-/Sites-pandora-master-catalog/default/dwbb259ca6/productimages/singlepackshot/762672C01_RGB.png")</f>
        <v>https://us.pandora.net/on/demandware.static/-/Sites-pandora-master-catalog/default/dwbb259ca6/productimages/singlepackshot/762672C01_RGB.png</v>
      </c>
    </row>
    <row r="2784" spans="1:4" x14ac:dyDescent="0.25">
      <c r="A2784" s="3" t="s">
        <v>2786</v>
      </c>
      <c r="B2784" s="4">
        <v>75</v>
      </c>
      <c r="C2784" s="3" t="str">
        <f ca="1">IFERROR(ROWSDUMMYFUNCTION(IF(A2784="","",IFERROR(IMAGE(CONCATENATE("https://us.pandora.net/on/demandware.static/-/Sites-pandora-master-catalog/default/dwbb259ca6/productimages/singlepackshot/",LEFT(A2784,FIND("-",A2784&amp;"-")-1),"_RGB.png")),""))),"{""url"":""https://us.pandora.net/on/demandware.static/-/Sites-pandora-master-catalog/default/dwbb259ca6/productimages/singlepackshot/762676C01_RGB.png"",""mode"":1}")</f>
        <v>{"url":"https://us.pandora.net/on/demandware.static/-/Sites-pandora-master-catalog/default/dwbb259ca6/productimages/singlepackshot/762676C01_RGB.png","mode":1}</v>
      </c>
      <c r="D2784" s="5" t="str">
        <f ca="1">IFERROR(ROWSDUMMYFUNCTION(IF(A2784="","",CONCATENATE("https://us.pandora.net/on/demandware.static/-/Sites-pandora-master-catalog/default/dwbb259ca6/productimages/singlepackshot/",LEFT(A2784,FIND("-",A2784&amp;"-")-1),"_RGB.png"))),"https://us.pandora.net/on/demandware.static/-/Sites-pandora-master-catalog/default/dwbb259ca6/productimages/singlepackshot/762676C01_RGB.png")</f>
        <v>https://us.pandora.net/on/demandware.static/-/Sites-pandora-master-catalog/default/dwbb259ca6/productimages/singlepackshot/762676C01_RGB.png</v>
      </c>
    </row>
    <row r="2785" spans="1:4" x14ac:dyDescent="0.25">
      <c r="A2785" s="3" t="s">
        <v>2787</v>
      </c>
      <c r="B2785" s="4">
        <v>65</v>
      </c>
      <c r="C2785" s="3" t="str">
        <f ca="1">IFERROR(ROWSDUMMYFUNCTION(IF(A2785="","",IFERROR(IMAGE(CONCATENATE("https://us.pandora.net/on/demandware.static/-/Sites-pandora-master-catalog/default/dwbb259ca6/productimages/singlepackshot/",LEFT(A2785,FIND("-",A2785&amp;"-")-1),"_RGB.png")),""))),"{""url"":""https://us.pandora.net/on/demandware.static/-/Sites-pandora-master-catalog/default/dwbb259ca6/productimages/singlepackshot/762678C01_RGB.png"",""mode"":1}")</f>
        <v>{"url":"https://us.pandora.net/on/demandware.static/-/Sites-pandora-master-catalog/default/dwbb259ca6/productimages/singlepackshot/762678C01_RGB.png","mode":1}</v>
      </c>
      <c r="D2785" s="5" t="str">
        <f ca="1">IFERROR(ROWSDUMMYFUNCTION(IF(A2785="","",CONCATENATE("https://us.pandora.net/on/demandware.static/-/Sites-pandora-master-catalog/default/dwbb259ca6/productimages/singlepackshot/",LEFT(A2785,FIND("-",A2785&amp;"-")-1),"_RGB.png"))),"https://us.pandora.net/on/demandware.static/-/Sites-pandora-master-catalog/default/dwbb259ca6/productimages/singlepackshot/762678C01_RGB.png")</f>
        <v>https://us.pandora.net/on/demandware.static/-/Sites-pandora-master-catalog/default/dwbb259ca6/productimages/singlepackshot/762678C01_RGB.png</v>
      </c>
    </row>
    <row r="2786" spans="1:4" x14ac:dyDescent="0.25">
      <c r="A2786" s="3" t="s">
        <v>2788</v>
      </c>
      <c r="B2786" s="4">
        <v>79</v>
      </c>
      <c r="C2786" s="3" t="str">
        <f ca="1">IFERROR(ROWSDUMMYFUNCTION(IF(A2786="","",IFERROR(IMAGE(CONCATENATE("https://us.pandora.net/on/demandware.static/-/Sites-pandora-master-catalog/default/dwbb259ca6/productimages/singlepackshot/",LEFT(A2786,FIND("-",A2786&amp;"-")-1),"_RGB.png")),""))),"{""url"":""https://us.pandora.net/on/demandware.static/-/Sites-pandora-master-catalog/default/dwbb259ca6/productimages/singlepackshot/762685C01_RGB.png"",""mode"":1}")</f>
        <v>{"url":"https://us.pandora.net/on/demandware.static/-/Sites-pandora-master-catalog/default/dwbb259ca6/productimages/singlepackshot/762685C01_RGB.png","mode":1}</v>
      </c>
      <c r="D2786" s="5" t="str">
        <f ca="1">IFERROR(ROWSDUMMYFUNCTION(IF(A2786="","",CONCATENATE("https://us.pandora.net/on/demandware.static/-/Sites-pandora-master-catalog/default/dwbb259ca6/productimages/singlepackshot/",LEFT(A2786,FIND("-",A2786&amp;"-")-1),"_RGB.png"))),"https://us.pandora.net/on/demandware.static/-/Sites-pandora-master-catalog/default/dwbb259ca6/productimages/singlepackshot/762685C01_RGB.png")</f>
        <v>https://us.pandora.net/on/demandware.static/-/Sites-pandora-master-catalog/default/dwbb259ca6/productimages/singlepackshot/762685C01_RGB.png</v>
      </c>
    </row>
    <row r="2787" spans="1:4" x14ac:dyDescent="0.25">
      <c r="A2787" s="3" t="s">
        <v>2789</v>
      </c>
      <c r="B2787" s="4">
        <v>69</v>
      </c>
      <c r="C2787" s="3" t="str">
        <f ca="1">IFERROR(ROWSDUMMYFUNCTION(IF(A2787="","",IFERROR(IMAGE(CONCATENATE("https://us.pandora.net/on/demandware.static/-/Sites-pandora-master-catalog/default/dwbb259ca6/productimages/singlepackshot/",LEFT(A2787,FIND("-",A2787&amp;"-")-1),"_RGB.png")),""))),"{""url"":""https://us.pandora.net/on/demandware.static/-/Sites-pandora-master-catalog/default/dwbb259ca6/productimages/singlepackshot/762699C01_RGB.png"",""mode"":1}")</f>
        <v>{"url":"https://us.pandora.net/on/demandware.static/-/Sites-pandora-master-catalog/default/dwbb259ca6/productimages/singlepackshot/762699C01_RGB.png","mode":1}</v>
      </c>
      <c r="D2787" s="5" t="str">
        <f ca="1">IFERROR(ROWSDUMMYFUNCTION(IF(A2787="","",CONCATENATE("https://us.pandora.net/on/demandware.static/-/Sites-pandora-master-catalog/default/dwbb259ca6/productimages/singlepackshot/",LEFT(A2787,FIND("-",A2787&amp;"-")-1),"_RGB.png"))),"https://us.pandora.net/on/demandware.static/-/Sites-pandora-master-catalog/default/dwbb259ca6/productimages/singlepackshot/762699C01_RGB.png")</f>
        <v>https://us.pandora.net/on/demandware.static/-/Sites-pandora-master-catalog/default/dwbb259ca6/productimages/singlepackshot/762699C01_RGB.png</v>
      </c>
    </row>
    <row r="2788" spans="1:4" x14ac:dyDescent="0.25">
      <c r="A2788" s="3" t="s">
        <v>2790</v>
      </c>
      <c r="B2788" s="4">
        <v>59</v>
      </c>
      <c r="C2788" s="3" t="str">
        <f ca="1">IFERROR(ROWSDUMMYFUNCTION(IF(A2788="","",IFERROR(IMAGE(CONCATENATE("https://us.pandora.net/on/demandware.static/-/Sites-pandora-master-catalog/default/dwbb259ca6/productimages/singlepackshot/",LEFT(A2788,FIND("-",A2788&amp;"-")-1),"_RGB.png")),""))),"{""url"":""https://us.pandora.net/on/demandware.static/-/Sites-pandora-master-catalog/default/dwbb259ca6/productimages/singlepackshot/762707C01_RGB.png"",""mode"":1}")</f>
        <v>{"url":"https://us.pandora.net/on/demandware.static/-/Sites-pandora-master-catalog/default/dwbb259ca6/productimages/singlepackshot/762707C01_RGB.png","mode":1}</v>
      </c>
      <c r="D2788" s="5" t="str">
        <f ca="1">IFERROR(ROWSDUMMYFUNCTION(IF(A2788="","",CONCATENATE("https://us.pandora.net/on/demandware.static/-/Sites-pandora-master-catalog/default/dwbb259ca6/productimages/singlepackshot/",LEFT(A2788,FIND("-",A2788&amp;"-")-1),"_RGB.png"))),"https://us.pandora.net/on/demandware.static/-/Sites-pandora-master-catalog/default/dwbb259ca6/productimages/singlepackshot/762707C01_RGB.png")</f>
        <v>https://us.pandora.net/on/demandware.static/-/Sites-pandora-master-catalog/default/dwbb259ca6/productimages/singlepackshot/762707C01_RGB.png</v>
      </c>
    </row>
    <row r="2789" spans="1:4" x14ac:dyDescent="0.25">
      <c r="A2789" s="3" t="s">
        <v>2791</v>
      </c>
      <c r="B2789" s="4">
        <v>59</v>
      </c>
      <c r="C2789" s="3" t="str">
        <f ca="1">IFERROR(ROWSDUMMYFUNCTION(IF(A2789="","",IFERROR(IMAGE(CONCATENATE("https://us.pandora.net/on/demandware.static/-/Sites-pandora-master-catalog/default/dwbb259ca6/productimages/singlepackshot/",LEFT(A2789,FIND("-",A2789&amp;"-")-1),"_RGB.png")),""))),"{""url"":""https://us.pandora.net/on/demandware.static/-/Sites-pandora-master-catalog/default/dwbb259ca6/productimages/singlepackshot/762708C01_RGB.png"",""mode"":1}")</f>
        <v>{"url":"https://us.pandora.net/on/demandware.static/-/Sites-pandora-master-catalog/default/dwbb259ca6/productimages/singlepackshot/762708C01_RGB.png","mode":1}</v>
      </c>
      <c r="D2789" s="5" t="str">
        <f ca="1">IFERROR(ROWSDUMMYFUNCTION(IF(A2789="","",CONCATENATE("https://us.pandora.net/on/demandware.static/-/Sites-pandora-master-catalog/default/dwbb259ca6/productimages/singlepackshot/",LEFT(A2789,FIND("-",A2789&amp;"-")-1),"_RGB.png"))),"https://us.pandora.net/on/demandware.static/-/Sites-pandora-master-catalog/default/dwbb259ca6/productimages/singlepackshot/762708C01_RGB.png")</f>
        <v>https://us.pandora.net/on/demandware.static/-/Sites-pandora-master-catalog/default/dwbb259ca6/productimages/singlepackshot/762708C01_RGB.png</v>
      </c>
    </row>
    <row r="2790" spans="1:4" x14ac:dyDescent="0.25">
      <c r="A2790" s="3" t="s">
        <v>2792</v>
      </c>
      <c r="B2790" s="4">
        <v>59</v>
      </c>
      <c r="C2790" s="3" t="str">
        <f ca="1">IFERROR(ROWSDUMMYFUNCTION(IF(A2790="","",IFERROR(IMAGE(CONCATENATE("https://us.pandora.net/on/demandware.static/-/Sites-pandora-master-catalog/default/dwbb259ca6/productimages/singlepackshot/",LEFT(A2790,FIND("-",A2790&amp;"-")-1),"_RGB.png")),""))),"{""url"":""https://us.pandora.net/on/demandware.static/-/Sites-pandora-master-catalog/default/dwbb259ca6/productimages/singlepackshot/762710C01_RGB.png"",""mode"":1}")</f>
        <v>{"url":"https://us.pandora.net/on/demandware.static/-/Sites-pandora-master-catalog/default/dwbb259ca6/productimages/singlepackshot/762710C01_RGB.png","mode":1}</v>
      </c>
      <c r="D2790" s="5" t="str">
        <f ca="1">IFERROR(ROWSDUMMYFUNCTION(IF(A2790="","",CONCATENATE("https://us.pandora.net/on/demandware.static/-/Sites-pandora-master-catalog/default/dwbb259ca6/productimages/singlepackshot/",LEFT(A2790,FIND("-",A2790&amp;"-")-1),"_RGB.png"))),"https://us.pandora.net/on/demandware.static/-/Sites-pandora-master-catalog/default/dwbb259ca6/productimages/singlepackshot/762710C01_RGB.png")</f>
        <v>https://us.pandora.net/on/demandware.static/-/Sites-pandora-master-catalog/default/dwbb259ca6/productimages/singlepackshot/762710C01_RGB.png</v>
      </c>
    </row>
    <row r="2791" spans="1:4" x14ac:dyDescent="0.25">
      <c r="A2791" s="3" t="s">
        <v>2793</v>
      </c>
      <c r="B2791" s="4">
        <v>59</v>
      </c>
      <c r="C2791" s="3" t="str">
        <f ca="1">IFERROR(ROWSDUMMYFUNCTION(IF(A2791="","",IFERROR(IMAGE(CONCATENATE("https://us.pandora.net/on/demandware.static/-/Sites-pandora-master-catalog/default/dwbb259ca6/productimages/singlepackshot/",LEFT(A2791,FIND("-",A2791&amp;"-")-1),"_RGB.png")),""))),"{""url"":""https://us.pandora.net/on/demandware.static/-/Sites-pandora-master-catalog/default/dwbb259ca6/productimages/singlepackshot/762711C01_RGB.png"",""mode"":1}")</f>
        <v>{"url":"https://us.pandora.net/on/demandware.static/-/Sites-pandora-master-catalog/default/dwbb259ca6/productimages/singlepackshot/762711C01_RGB.png","mode":1}</v>
      </c>
      <c r="D2791" s="5" t="str">
        <f ca="1">IFERROR(ROWSDUMMYFUNCTION(IF(A2791="","",CONCATENATE("https://us.pandora.net/on/demandware.static/-/Sites-pandora-master-catalog/default/dwbb259ca6/productimages/singlepackshot/",LEFT(A2791,FIND("-",A2791&amp;"-")-1),"_RGB.png"))),"https://us.pandora.net/on/demandware.static/-/Sites-pandora-master-catalog/default/dwbb259ca6/productimages/singlepackshot/762711C01_RGB.png")</f>
        <v>https://us.pandora.net/on/demandware.static/-/Sites-pandora-master-catalog/default/dwbb259ca6/productimages/singlepackshot/762711C01_RGB.png</v>
      </c>
    </row>
    <row r="2792" spans="1:4" x14ac:dyDescent="0.25">
      <c r="A2792" s="3" t="s">
        <v>2794</v>
      </c>
      <c r="B2792" s="4">
        <v>59</v>
      </c>
      <c r="C2792" s="3" t="str">
        <f ca="1">IFERROR(ROWSDUMMYFUNCTION(IF(A2792="","",IFERROR(IMAGE(CONCATENATE("https://us.pandora.net/on/demandware.static/-/Sites-pandora-master-catalog/default/dwbb259ca6/productimages/singlepackshot/",LEFT(A2792,FIND("-",A2792&amp;"-")-1),"_RGB.png")),""))),"{""url"":""https://us.pandora.net/on/demandware.static/-/Sites-pandora-master-catalog/default/dwbb259ca6/productimages/singlepackshot/762712C01_RGB.png"",""mode"":1}")</f>
        <v>{"url":"https://us.pandora.net/on/demandware.static/-/Sites-pandora-master-catalog/default/dwbb259ca6/productimages/singlepackshot/762712C01_RGB.png","mode":1}</v>
      </c>
      <c r="D2792" s="5" t="str">
        <f ca="1">IFERROR(ROWSDUMMYFUNCTION(IF(A2792="","",CONCATENATE("https://us.pandora.net/on/demandware.static/-/Sites-pandora-master-catalog/default/dwbb259ca6/productimages/singlepackshot/",LEFT(A2792,FIND("-",A2792&amp;"-")-1),"_RGB.png"))),"https://us.pandora.net/on/demandware.static/-/Sites-pandora-master-catalog/default/dwbb259ca6/productimages/singlepackshot/762712C01_RGB.png")</f>
        <v>https://us.pandora.net/on/demandware.static/-/Sites-pandora-master-catalog/default/dwbb259ca6/productimages/singlepackshot/762712C01_RGB.png</v>
      </c>
    </row>
    <row r="2793" spans="1:4" x14ac:dyDescent="0.25">
      <c r="A2793" s="3" t="s">
        <v>2795</v>
      </c>
      <c r="B2793" s="4">
        <v>59</v>
      </c>
      <c r="C2793" s="3" t="str">
        <f ca="1">IFERROR(ROWSDUMMYFUNCTION(IF(A2793="","",IFERROR(IMAGE(CONCATENATE("https://us.pandora.net/on/demandware.static/-/Sites-pandora-master-catalog/default/dwbb259ca6/productimages/singlepackshot/",LEFT(A2793,FIND("-",A2793&amp;"-")-1),"_RGB.png")),""))),"{""url"":""https://us.pandora.net/on/demandware.static/-/Sites-pandora-master-catalog/default/dwbb259ca6/productimages/singlepackshot/762715C01_RGB.png"",""mode"":1}")</f>
        <v>{"url":"https://us.pandora.net/on/demandware.static/-/Sites-pandora-master-catalog/default/dwbb259ca6/productimages/singlepackshot/762715C01_RGB.png","mode":1}</v>
      </c>
      <c r="D2793" s="5" t="str">
        <f ca="1">IFERROR(ROWSDUMMYFUNCTION(IF(A2793="","",CONCATENATE("https://us.pandora.net/on/demandware.static/-/Sites-pandora-master-catalog/default/dwbb259ca6/productimages/singlepackshot/",LEFT(A2793,FIND("-",A2793&amp;"-")-1),"_RGB.png"))),"https://us.pandora.net/on/demandware.static/-/Sites-pandora-master-catalog/default/dwbb259ca6/productimages/singlepackshot/762715C01_RGB.png")</f>
        <v>https://us.pandora.net/on/demandware.static/-/Sites-pandora-master-catalog/default/dwbb259ca6/productimages/singlepackshot/762715C01_RGB.png</v>
      </c>
    </row>
    <row r="2794" spans="1:4" x14ac:dyDescent="0.25">
      <c r="A2794" s="3" t="s">
        <v>2796</v>
      </c>
      <c r="B2794" s="4">
        <v>49</v>
      </c>
      <c r="C2794" s="3" t="str">
        <f ca="1">IFERROR(ROWSDUMMYFUNCTION(IF(A2794="","",IFERROR(IMAGE(CONCATENATE("https://us.pandora.net/on/demandware.static/-/Sites-pandora-master-catalog/default/dwbb259ca6/productimages/singlepackshot/",LEFT(A2794,FIND("-",A2794&amp;"-")-1),"_RGB.png")),""))),"{""url"":""https://us.pandora.net/on/demandware.static/-/Sites-pandora-master-catalog/default/dwbb259ca6/productimages/singlepackshot/762716C00_RGB.png"",""mode"":1}")</f>
        <v>{"url":"https://us.pandora.net/on/demandware.static/-/Sites-pandora-master-catalog/default/dwbb259ca6/productimages/singlepackshot/762716C00_RGB.png","mode":1}</v>
      </c>
      <c r="D2794" s="5" t="str">
        <f ca="1">IFERROR(ROWSDUMMYFUNCTION(IF(A2794="","",CONCATENATE("https://us.pandora.net/on/demandware.static/-/Sites-pandora-master-catalog/default/dwbb259ca6/productimages/singlepackshot/",LEFT(A2794,FIND("-",A2794&amp;"-")-1),"_RGB.png"))),"https://us.pandora.net/on/demandware.static/-/Sites-pandora-master-catalog/default/dwbb259ca6/productimages/singlepackshot/762716C00_RGB.png")</f>
        <v>https://us.pandora.net/on/demandware.static/-/Sites-pandora-master-catalog/default/dwbb259ca6/productimages/singlepackshot/762716C00_RGB.png</v>
      </c>
    </row>
    <row r="2795" spans="1:4" x14ac:dyDescent="0.25">
      <c r="A2795" s="3" t="s">
        <v>2797</v>
      </c>
      <c r="B2795" s="4">
        <v>59</v>
      </c>
      <c r="C2795" s="3" t="str">
        <f ca="1">IFERROR(ROWSDUMMYFUNCTION(IF(A2795="","",IFERROR(IMAGE(CONCATENATE("https://us.pandora.net/on/demandware.static/-/Sites-pandora-master-catalog/default/dwbb259ca6/productimages/singlepackshot/",LEFT(A2795,FIND("-",A2795&amp;"-")-1),"_RGB.png")),""))),"{""url"":""https://us.pandora.net/on/demandware.static/-/Sites-pandora-master-catalog/default/dwbb259ca6/productimages/singlepackshot/762717C01_RGB.png"",""mode"":1}")</f>
        <v>{"url":"https://us.pandora.net/on/demandware.static/-/Sites-pandora-master-catalog/default/dwbb259ca6/productimages/singlepackshot/762717C01_RGB.png","mode":1}</v>
      </c>
      <c r="D2795" s="5" t="str">
        <f ca="1">IFERROR(ROWSDUMMYFUNCTION(IF(A2795="","",CONCATENATE("https://us.pandora.net/on/demandware.static/-/Sites-pandora-master-catalog/default/dwbb259ca6/productimages/singlepackshot/",LEFT(A2795,FIND("-",A2795&amp;"-")-1),"_RGB.png"))),"https://us.pandora.net/on/demandware.static/-/Sites-pandora-master-catalog/default/dwbb259ca6/productimages/singlepackshot/762717C01_RGB.png")</f>
        <v>https://us.pandora.net/on/demandware.static/-/Sites-pandora-master-catalog/default/dwbb259ca6/productimages/singlepackshot/762717C01_RGB.png</v>
      </c>
    </row>
    <row r="2796" spans="1:4" x14ac:dyDescent="0.25">
      <c r="A2796" s="3" t="s">
        <v>2798</v>
      </c>
      <c r="B2796" s="4">
        <v>59</v>
      </c>
      <c r="C2796" s="3" t="str">
        <f ca="1">IFERROR(ROWSDUMMYFUNCTION(IF(A2796="","",IFERROR(IMAGE(CONCATENATE("https://us.pandora.net/on/demandware.static/-/Sites-pandora-master-catalog/default/dwbb259ca6/productimages/singlepackshot/",LEFT(A2796,FIND("-",A2796&amp;"-")-1),"_RGB.png")),""))),"{""url"":""https://us.pandora.net/on/demandware.static/-/Sites-pandora-master-catalog/default/dwbb259ca6/productimages/singlepackshot/762719C01_RGB.png"",""mode"":1}")</f>
        <v>{"url":"https://us.pandora.net/on/demandware.static/-/Sites-pandora-master-catalog/default/dwbb259ca6/productimages/singlepackshot/762719C01_RGB.png","mode":1}</v>
      </c>
      <c r="D2796" s="5" t="str">
        <f ca="1">IFERROR(ROWSDUMMYFUNCTION(IF(A2796="","",CONCATENATE("https://us.pandora.net/on/demandware.static/-/Sites-pandora-master-catalog/default/dwbb259ca6/productimages/singlepackshot/",LEFT(A2796,FIND("-",A2796&amp;"-")-1),"_RGB.png"))),"https://us.pandora.net/on/demandware.static/-/Sites-pandora-master-catalog/default/dwbb259ca6/productimages/singlepackshot/762719C01_RGB.png")</f>
        <v>https://us.pandora.net/on/demandware.static/-/Sites-pandora-master-catalog/default/dwbb259ca6/productimages/singlepackshot/762719C01_RGB.png</v>
      </c>
    </row>
    <row r="2797" spans="1:4" x14ac:dyDescent="0.25">
      <c r="A2797" s="3" t="s">
        <v>2799</v>
      </c>
      <c r="B2797" s="4">
        <v>59</v>
      </c>
      <c r="C2797" s="3" t="str">
        <f ca="1">IFERROR(ROWSDUMMYFUNCTION(IF(A2797="","",IFERROR(IMAGE(CONCATENATE("https://us.pandora.net/on/demandware.static/-/Sites-pandora-master-catalog/default/dwbb259ca6/productimages/singlepackshot/",LEFT(A2797,FIND("-",A2797&amp;"-")-1),"_RGB.png")),""))),"{""url"":""https://us.pandora.net/on/demandware.static/-/Sites-pandora-master-catalog/default/dwbb259ca6/productimages/singlepackshot/762720C01_RGB.png"",""mode"":1}")</f>
        <v>{"url":"https://us.pandora.net/on/demandware.static/-/Sites-pandora-master-catalog/default/dwbb259ca6/productimages/singlepackshot/762720C01_RGB.png","mode":1}</v>
      </c>
      <c r="D2797" s="5" t="str">
        <f ca="1">IFERROR(ROWSDUMMYFUNCTION(IF(A2797="","",CONCATENATE("https://us.pandora.net/on/demandware.static/-/Sites-pandora-master-catalog/default/dwbb259ca6/productimages/singlepackshot/",LEFT(A2797,FIND("-",A2797&amp;"-")-1),"_RGB.png"))),"https://us.pandora.net/on/demandware.static/-/Sites-pandora-master-catalog/default/dwbb259ca6/productimages/singlepackshot/762720C01_RGB.png")</f>
        <v>https://us.pandora.net/on/demandware.static/-/Sites-pandora-master-catalog/default/dwbb259ca6/productimages/singlepackshot/762720C01_RGB.png</v>
      </c>
    </row>
    <row r="2798" spans="1:4" x14ac:dyDescent="0.25">
      <c r="A2798" s="3" t="s">
        <v>2800</v>
      </c>
      <c r="B2798" s="4">
        <v>75</v>
      </c>
      <c r="C2798" s="3" t="str">
        <f ca="1">IFERROR(ROWSDUMMYFUNCTION(IF(A2798="","",IFERROR(IMAGE(CONCATENATE("https://us.pandora.net/on/demandware.static/-/Sites-pandora-master-catalog/default/dwbb259ca6/productimages/singlepackshot/",LEFT(A2798,FIND("-",A2798&amp;"-")-1),"_RGB.png")),""))),"{""url"":""https://us.pandora.net/on/demandware.static/-/Sites-pandora-master-catalog/default/dwbb259ca6/productimages/singlepackshot/762722C00_RGB.png"",""mode"":1}")</f>
        <v>{"url":"https://us.pandora.net/on/demandware.static/-/Sites-pandora-master-catalog/default/dwbb259ca6/productimages/singlepackshot/762722C00_RGB.png","mode":1}</v>
      </c>
      <c r="D2798" s="5" t="str">
        <f ca="1">IFERROR(ROWSDUMMYFUNCTION(IF(A2798="","",CONCATENATE("https://us.pandora.net/on/demandware.static/-/Sites-pandora-master-catalog/default/dwbb259ca6/productimages/singlepackshot/",LEFT(A2798,FIND("-",A2798&amp;"-")-1),"_RGB.png"))),"https://us.pandora.net/on/demandware.static/-/Sites-pandora-master-catalog/default/dwbb259ca6/productimages/singlepackshot/762722C00_RGB.png")</f>
        <v>https://us.pandora.net/on/demandware.static/-/Sites-pandora-master-catalog/default/dwbb259ca6/productimages/singlepackshot/762722C00_RGB.png</v>
      </c>
    </row>
    <row r="2799" spans="1:4" x14ac:dyDescent="0.25">
      <c r="A2799" s="3" t="s">
        <v>2801</v>
      </c>
      <c r="B2799" s="4">
        <v>59</v>
      </c>
      <c r="C2799" s="3" t="str">
        <f ca="1">IFERROR(ROWSDUMMYFUNCTION(IF(A2799="","",IFERROR(IMAGE(CONCATENATE("https://us.pandora.net/on/demandware.static/-/Sites-pandora-master-catalog/default/dwbb259ca6/productimages/singlepackshot/",LEFT(A2799,FIND("-",A2799&amp;"-")-1),"_RGB.png")),""))),"{""url"":""https://us.pandora.net/on/demandware.static/-/Sites-pandora-master-catalog/default/dwbb259ca6/productimages/singlepackshot/762723C01_RGB.png"",""mode"":1}")</f>
        <v>{"url":"https://us.pandora.net/on/demandware.static/-/Sites-pandora-master-catalog/default/dwbb259ca6/productimages/singlepackshot/762723C01_RGB.png","mode":1}</v>
      </c>
      <c r="D2799" s="5" t="str">
        <f ca="1">IFERROR(ROWSDUMMYFUNCTION(IF(A2799="","",CONCATENATE("https://us.pandora.net/on/demandware.static/-/Sites-pandora-master-catalog/default/dwbb259ca6/productimages/singlepackshot/",LEFT(A2799,FIND("-",A2799&amp;"-")-1),"_RGB.png"))),"https://us.pandora.net/on/demandware.static/-/Sites-pandora-master-catalog/default/dwbb259ca6/productimages/singlepackshot/762723C01_RGB.png")</f>
        <v>https://us.pandora.net/on/demandware.static/-/Sites-pandora-master-catalog/default/dwbb259ca6/productimages/singlepackshot/762723C01_RGB.png</v>
      </c>
    </row>
    <row r="2800" spans="1:4" x14ac:dyDescent="0.25">
      <c r="A2800" s="3" t="s">
        <v>2802</v>
      </c>
      <c r="B2800" s="4">
        <v>59</v>
      </c>
      <c r="C2800" s="3" t="str">
        <f ca="1">IFERROR(ROWSDUMMYFUNCTION(IF(A2800="","",IFERROR(IMAGE(CONCATENATE("https://us.pandora.net/on/demandware.static/-/Sites-pandora-master-catalog/default/dwbb259ca6/productimages/singlepackshot/",LEFT(A2800,FIND("-",A2800&amp;"-")-1),"_RGB.png")),""))),"{""url"":""https://us.pandora.net/on/demandware.static/-/Sites-pandora-master-catalog/default/dwbb259ca6/productimages/singlepackshot/762724C01_RGB.png"",""mode"":1}")</f>
        <v>{"url":"https://us.pandora.net/on/demandware.static/-/Sites-pandora-master-catalog/default/dwbb259ca6/productimages/singlepackshot/762724C01_RGB.png","mode":1}</v>
      </c>
      <c r="D2800" s="5" t="str">
        <f ca="1">IFERROR(ROWSDUMMYFUNCTION(IF(A2800="","",CONCATENATE("https://us.pandora.net/on/demandware.static/-/Sites-pandora-master-catalog/default/dwbb259ca6/productimages/singlepackshot/",LEFT(A2800,FIND("-",A2800&amp;"-")-1),"_RGB.png"))),"https://us.pandora.net/on/demandware.static/-/Sites-pandora-master-catalog/default/dwbb259ca6/productimages/singlepackshot/762724C01_RGB.png")</f>
        <v>https://us.pandora.net/on/demandware.static/-/Sites-pandora-master-catalog/default/dwbb259ca6/productimages/singlepackshot/762724C01_RGB.png</v>
      </c>
    </row>
    <row r="2801" spans="1:4" x14ac:dyDescent="0.25">
      <c r="A2801" s="3" t="s">
        <v>2803</v>
      </c>
      <c r="B2801" s="4">
        <v>59</v>
      </c>
      <c r="C2801" s="3" t="str">
        <f ca="1">IFERROR(ROWSDUMMYFUNCTION(IF(A2801="","",IFERROR(IMAGE(CONCATENATE("https://us.pandora.net/on/demandware.static/-/Sites-pandora-master-catalog/default/dwbb259ca6/productimages/singlepackshot/",LEFT(A2801,FIND("-",A2801&amp;"-")-1),"_RGB.png")),""))),"{""url"":""https://us.pandora.net/on/demandware.static/-/Sites-pandora-master-catalog/default/dwbb259ca6/productimages/singlepackshot/762725C01_RGB.png"",""mode"":1}")</f>
        <v>{"url":"https://us.pandora.net/on/demandware.static/-/Sites-pandora-master-catalog/default/dwbb259ca6/productimages/singlepackshot/762725C01_RGB.png","mode":1}</v>
      </c>
      <c r="D2801" s="5" t="str">
        <f ca="1">IFERROR(ROWSDUMMYFUNCTION(IF(A2801="","",CONCATENATE("https://us.pandora.net/on/demandware.static/-/Sites-pandora-master-catalog/default/dwbb259ca6/productimages/singlepackshot/",LEFT(A2801,FIND("-",A2801&amp;"-")-1),"_RGB.png"))),"https://us.pandora.net/on/demandware.static/-/Sites-pandora-master-catalog/default/dwbb259ca6/productimages/singlepackshot/762725C01_RGB.png")</f>
        <v>https://us.pandora.net/on/demandware.static/-/Sites-pandora-master-catalog/default/dwbb259ca6/productimages/singlepackshot/762725C01_RGB.png</v>
      </c>
    </row>
    <row r="2802" spans="1:4" x14ac:dyDescent="0.25">
      <c r="A2802" s="3" t="s">
        <v>2804</v>
      </c>
      <c r="B2802" s="4">
        <v>49</v>
      </c>
      <c r="C2802" s="3" t="str">
        <f ca="1">IFERROR(ROWSDUMMYFUNCTION(IF(A2802="","",IFERROR(IMAGE(CONCATENATE("https://us.pandora.net/on/demandware.static/-/Sites-pandora-master-catalog/default/dwbb259ca6/productimages/singlepackshot/",LEFT(A2802,FIND("-",A2802&amp;"-")-1),"_RGB.png")),""))),"{""url"":""https://us.pandora.net/on/demandware.static/-/Sites-pandora-master-catalog/default/dwbb259ca6/productimages/singlepackshot/762751C01_RGB.png"",""mode"":1}")</f>
        <v>{"url":"https://us.pandora.net/on/demandware.static/-/Sites-pandora-master-catalog/default/dwbb259ca6/productimages/singlepackshot/762751C01_RGB.png","mode":1}</v>
      </c>
      <c r="D2802" s="5" t="str">
        <f ca="1">IFERROR(ROWSDUMMYFUNCTION(IF(A2802="","",CONCATENATE("https://us.pandora.net/on/demandware.static/-/Sites-pandora-master-catalog/default/dwbb259ca6/productimages/singlepackshot/",LEFT(A2802,FIND("-",A2802&amp;"-")-1),"_RGB.png"))),"https://us.pandora.net/on/demandware.static/-/Sites-pandora-master-catalog/default/dwbb259ca6/productimages/singlepackshot/762751C01_RGB.png")</f>
        <v>https://us.pandora.net/on/demandware.static/-/Sites-pandora-master-catalog/default/dwbb259ca6/productimages/singlepackshot/762751C01_RGB.png</v>
      </c>
    </row>
    <row r="2803" spans="1:4" x14ac:dyDescent="0.25">
      <c r="A2803" s="3" t="s">
        <v>2805</v>
      </c>
      <c r="B2803" s="4">
        <v>79</v>
      </c>
      <c r="C2803" s="3" t="str">
        <f ca="1">IFERROR(ROWSDUMMYFUNCTION(IF(A2803="","",IFERROR(IMAGE(CONCATENATE("https://us.pandora.net/on/demandware.static/-/Sites-pandora-master-catalog/default/dwbb259ca6/productimages/singlepackshot/",LEFT(A2803,FIND("-",A2803&amp;"-")-1),"_RGB.png")),""))),"{""url"":""https://us.pandora.net/on/demandware.static/-/Sites-pandora-master-catalog/default/dwbb259ca6/productimages/singlepackshot/762764C01_RGB.png"",""mode"":1}")</f>
        <v>{"url":"https://us.pandora.net/on/demandware.static/-/Sites-pandora-master-catalog/default/dwbb259ca6/productimages/singlepackshot/762764C01_RGB.png","mode":1}</v>
      </c>
      <c r="D2803" s="5" t="str">
        <f ca="1">IFERROR(ROWSDUMMYFUNCTION(IF(A2803="","",CONCATENATE("https://us.pandora.net/on/demandware.static/-/Sites-pandora-master-catalog/default/dwbb259ca6/productimages/singlepackshot/",LEFT(A2803,FIND("-",A2803&amp;"-")-1),"_RGB.png"))),"https://us.pandora.net/on/demandware.static/-/Sites-pandora-master-catalog/default/dwbb259ca6/productimages/singlepackshot/762764C01_RGB.png")</f>
        <v>https://us.pandora.net/on/demandware.static/-/Sites-pandora-master-catalog/default/dwbb259ca6/productimages/singlepackshot/762764C01_RGB.png</v>
      </c>
    </row>
    <row r="2804" spans="1:4" x14ac:dyDescent="0.25">
      <c r="A2804" s="3" t="s">
        <v>2806</v>
      </c>
      <c r="B2804" s="4">
        <v>69</v>
      </c>
      <c r="C2804" s="3" t="str">
        <f ca="1">IFERROR(ROWSDUMMYFUNCTION(IF(A2804="","",IFERROR(IMAGE(CONCATENATE("https://us.pandora.net/on/demandware.static/-/Sites-pandora-master-catalog/default/dwbb259ca6/productimages/singlepackshot/",LEFT(A2804,FIND("-",A2804&amp;"-")-1),"_RGB.png")),""))),"{""url"":""https://us.pandora.net/on/demandware.static/-/Sites-pandora-master-catalog/default/dwbb259ca6/productimages/singlepackshot/762820C01_RGB.png"",""mode"":1}")</f>
        <v>{"url":"https://us.pandora.net/on/demandware.static/-/Sites-pandora-master-catalog/default/dwbb259ca6/productimages/singlepackshot/762820C01_RGB.png","mode":1}</v>
      </c>
      <c r="D2804" s="5" t="str">
        <f ca="1">IFERROR(ROWSDUMMYFUNCTION(IF(A2804="","",CONCATENATE("https://us.pandora.net/on/demandware.static/-/Sites-pandora-master-catalog/default/dwbb259ca6/productimages/singlepackshot/",LEFT(A2804,FIND("-",A2804&amp;"-")-1),"_RGB.png"))),"https://us.pandora.net/on/demandware.static/-/Sites-pandora-master-catalog/default/dwbb259ca6/productimages/singlepackshot/762820C01_RGB.png")</f>
        <v>https://us.pandora.net/on/demandware.static/-/Sites-pandora-master-catalog/default/dwbb259ca6/productimages/singlepackshot/762820C01_RGB.png</v>
      </c>
    </row>
    <row r="2805" spans="1:4" x14ac:dyDescent="0.25">
      <c r="A2805" s="3" t="s">
        <v>2807</v>
      </c>
      <c r="B2805" s="4">
        <v>89</v>
      </c>
      <c r="C2805" s="3" t="str">
        <f ca="1">IFERROR(ROWSDUMMYFUNCTION(IF(A2805="","",IFERROR(IMAGE(CONCATENATE("https://us.pandora.net/on/demandware.static/-/Sites-pandora-master-catalog/default/dwbb259ca6/productimages/singlepackshot/",LEFT(A2805,FIND("-",A2805&amp;"-")-1),"_RGB.png")),""))),"{""url"":""https://us.pandora.net/on/demandware.static/-/Sites-pandora-master-catalog/default/dwbb259ca6/productimages/singlepackshot/762825C01_RGB.png"",""mode"":1}")</f>
        <v>{"url":"https://us.pandora.net/on/demandware.static/-/Sites-pandora-master-catalog/default/dwbb259ca6/productimages/singlepackshot/762825C01_RGB.png","mode":1}</v>
      </c>
      <c r="D2805" s="5" t="str">
        <f ca="1">IFERROR(ROWSDUMMYFUNCTION(IF(A2805="","",CONCATENATE("https://us.pandora.net/on/demandware.static/-/Sites-pandora-master-catalog/default/dwbb259ca6/productimages/singlepackshot/",LEFT(A2805,FIND("-",A2805&amp;"-")-1),"_RGB.png"))),"https://us.pandora.net/on/demandware.static/-/Sites-pandora-master-catalog/default/dwbb259ca6/productimages/singlepackshot/762825C01_RGB.png")</f>
        <v>https://us.pandora.net/on/demandware.static/-/Sites-pandora-master-catalog/default/dwbb259ca6/productimages/singlepackshot/762825C01_RGB.png</v>
      </c>
    </row>
    <row r="2806" spans="1:4" x14ac:dyDescent="0.25">
      <c r="A2806" s="3" t="s">
        <v>2808</v>
      </c>
      <c r="B2806" s="4">
        <v>65</v>
      </c>
      <c r="C2806" s="3" t="str">
        <f ca="1">IFERROR(ROWSDUMMYFUNCTION(IF(A2806="","",IFERROR(IMAGE(CONCATENATE("https://us.pandora.net/on/demandware.static/-/Sites-pandora-master-catalog/default/dwbb259ca6/productimages/singlepackshot/",LEFT(A2806,FIND("-",A2806&amp;"-")-1),"_RGB.png")),""))),"{""url"":""https://us.pandora.net/on/demandware.static/-/Sites-pandora-master-catalog/default/dwbb259ca6/productimages/singlepackshot/762985C01_RGB.png"",""mode"":1}")</f>
        <v>{"url":"https://us.pandora.net/on/demandware.static/-/Sites-pandora-master-catalog/default/dwbb259ca6/productimages/singlepackshot/762985C01_RGB.png","mode":1}</v>
      </c>
      <c r="D2806" s="5" t="str">
        <f ca="1">IFERROR(ROWSDUMMYFUNCTION(IF(A2806="","",CONCATENATE("https://us.pandora.net/on/demandware.static/-/Sites-pandora-master-catalog/default/dwbb259ca6/productimages/singlepackshot/",LEFT(A2806,FIND("-",A2806&amp;"-")-1),"_RGB.png"))),"https://us.pandora.net/on/demandware.static/-/Sites-pandora-master-catalog/default/dwbb259ca6/productimages/singlepackshot/762985C01_RGB.png")</f>
        <v>https://us.pandora.net/on/demandware.static/-/Sites-pandora-master-catalog/default/dwbb259ca6/productimages/singlepackshot/762985C01_RGB.png</v>
      </c>
    </row>
    <row r="2807" spans="1:4" x14ac:dyDescent="0.25">
      <c r="A2807" s="3" t="s">
        <v>2809</v>
      </c>
      <c r="B2807" s="4">
        <v>39</v>
      </c>
      <c r="C2807" s="3" t="str">
        <f ca="1">IFERROR(ROWSDUMMYFUNCTION(IF(A2807="","",IFERROR(IMAGE(CONCATENATE("https://us.pandora.net/on/demandware.static/-/Sites-pandora-master-catalog/default/dwbb259ca6/productimages/singlepackshot/",LEFT(A2807,FIND("-",A2807&amp;"-")-1),"_RGB.png")),""))),"{""url"":""https://us.pandora.net/on/demandware.static/-/Sites-pandora-master-catalog/default/dwbb259ca6/productimages/singlepackshot/763033C00_RGB.png"",""mode"":1}")</f>
        <v>{"url":"https://us.pandora.net/on/demandware.static/-/Sites-pandora-master-catalog/default/dwbb259ca6/productimages/singlepackshot/763033C00_RGB.png","mode":1}</v>
      </c>
      <c r="D2807" s="5" t="str">
        <f ca="1">IFERROR(ROWSDUMMYFUNCTION(IF(A2807="","",CONCATENATE("https://us.pandora.net/on/demandware.static/-/Sites-pandora-master-catalog/default/dwbb259ca6/productimages/singlepackshot/",LEFT(A2807,FIND("-",A2807&amp;"-")-1),"_RGB.png"))),"https://us.pandora.net/on/demandware.static/-/Sites-pandora-master-catalog/default/dwbb259ca6/productimages/singlepackshot/763033C00_RGB.png")</f>
        <v>https://us.pandora.net/on/demandware.static/-/Sites-pandora-master-catalog/default/dwbb259ca6/productimages/singlepackshot/763033C00_RGB.png</v>
      </c>
    </row>
    <row r="2808" spans="1:4" x14ac:dyDescent="0.25">
      <c r="A2808" s="3" t="s">
        <v>2810</v>
      </c>
      <c r="B2808" s="4">
        <v>49</v>
      </c>
      <c r="C2808" s="3" t="str">
        <f ca="1">IFERROR(ROWSDUMMYFUNCTION(IF(A2808="","",IFERROR(IMAGE(CONCATENATE("https://us.pandora.net/on/demandware.static/-/Sites-pandora-master-catalog/default/dwbb259ca6/productimages/singlepackshot/",LEFT(A2808,FIND("-",A2808&amp;"-")-1),"_RGB.png")),""))),"{""url"":""https://us.pandora.net/on/demandware.static/-/Sites-pandora-master-catalog/default/dwbb259ca6/productimages/singlepackshot/763034C01_RGB.png"",""mode"":1}")</f>
        <v>{"url":"https://us.pandora.net/on/demandware.static/-/Sites-pandora-master-catalog/default/dwbb259ca6/productimages/singlepackshot/763034C01_RGB.png","mode":1}</v>
      </c>
      <c r="D2808" s="5" t="str">
        <f ca="1">IFERROR(ROWSDUMMYFUNCTION(IF(A2808="","",CONCATENATE("https://us.pandora.net/on/demandware.static/-/Sites-pandora-master-catalog/default/dwbb259ca6/productimages/singlepackshot/",LEFT(A2808,FIND("-",A2808&amp;"-")-1),"_RGB.png"))),"https://us.pandora.net/on/demandware.static/-/Sites-pandora-master-catalog/default/dwbb259ca6/productimages/singlepackshot/763034C01_RGB.png")</f>
        <v>https://us.pandora.net/on/demandware.static/-/Sites-pandora-master-catalog/default/dwbb259ca6/productimages/singlepackshot/763034C01_RGB.png</v>
      </c>
    </row>
    <row r="2809" spans="1:4" x14ac:dyDescent="0.25">
      <c r="A2809" s="3" t="s">
        <v>2811</v>
      </c>
      <c r="B2809" s="4">
        <v>49</v>
      </c>
      <c r="C2809" s="3" t="str">
        <f ca="1">IFERROR(ROWSDUMMYFUNCTION(IF(A2809="","",IFERROR(IMAGE(CONCATENATE("https://us.pandora.net/on/demandware.static/-/Sites-pandora-master-catalog/default/dwbb259ca6/productimages/singlepackshot/",LEFT(A2809,FIND("-",A2809&amp;"-")-1),"_RGB.png")),""))),"{""url"":""https://us.pandora.net/on/demandware.static/-/Sites-pandora-master-catalog/default/dwbb259ca6/productimages/singlepackshot/763035C01_RGB.png"",""mode"":1}")</f>
        <v>{"url":"https://us.pandora.net/on/demandware.static/-/Sites-pandora-master-catalog/default/dwbb259ca6/productimages/singlepackshot/763035C01_RGB.png","mode":1}</v>
      </c>
      <c r="D2809" s="5" t="str">
        <f ca="1">IFERROR(ROWSDUMMYFUNCTION(IF(A2809="","",CONCATENATE("https://us.pandora.net/on/demandware.static/-/Sites-pandora-master-catalog/default/dwbb259ca6/productimages/singlepackshot/",LEFT(A2809,FIND("-",A2809&amp;"-")-1),"_RGB.png"))),"https://us.pandora.net/on/demandware.static/-/Sites-pandora-master-catalog/default/dwbb259ca6/productimages/singlepackshot/763035C01_RGB.png")</f>
        <v>https://us.pandora.net/on/demandware.static/-/Sites-pandora-master-catalog/default/dwbb259ca6/productimages/singlepackshot/763035C01_RGB.png</v>
      </c>
    </row>
    <row r="2810" spans="1:4" x14ac:dyDescent="0.25">
      <c r="A2810" s="3" t="s">
        <v>2812</v>
      </c>
      <c r="B2810" s="4">
        <v>39</v>
      </c>
      <c r="C2810" s="3" t="str">
        <f ca="1">IFERROR(ROWSDUMMYFUNCTION(IF(A2810="","",IFERROR(IMAGE(CONCATENATE("https://us.pandora.net/on/demandware.static/-/Sites-pandora-master-catalog/default/dwbb259ca6/productimages/singlepackshot/",LEFT(A2810,FIND("-",A2810&amp;"-")-1),"_RGB.png")),""))),"{""url"":""https://us.pandora.net/on/demandware.static/-/Sites-pandora-master-catalog/default/dwbb259ca6/productimages/singlepackshot/763042C01_RGB.png"",""mode"":1}")</f>
        <v>{"url":"https://us.pandora.net/on/demandware.static/-/Sites-pandora-master-catalog/default/dwbb259ca6/productimages/singlepackshot/763042C01_RGB.png","mode":1}</v>
      </c>
      <c r="D2810" s="5" t="str">
        <f ca="1">IFERROR(ROWSDUMMYFUNCTION(IF(A2810="","",CONCATENATE("https://us.pandora.net/on/demandware.static/-/Sites-pandora-master-catalog/default/dwbb259ca6/productimages/singlepackshot/",LEFT(A2810,FIND("-",A2810&amp;"-")-1),"_RGB.png"))),"https://us.pandora.net/on/demandware.static/-/Sites-pandora-master-catalog/default/dwbb259ca6/productimages/singlepackshot/763042C01_RGB.png")</f>
        <v>https://us.pandora.net/on/demandware.static/-/Sites-pandora-master-catalog/default/dwbb259ca6/productimages/singlepackshot/763042C01_RGB.png</v>
      </c>
    </row>
    <row r="2811" spans="1:4" x14ac:dyDescent="0.25">
      <c r="A2811" s="3" t="s">
        <v>2813</v>
      </c>
      <c r="B2811" s="4">
        <v>39</v>
      </c>
      <c r="C2811" s="3" t="str">
        <f ca="1">IFERROR(ROWSDUMMYFUNCTION(IF(A2811="","",IFERROR(IMAGE(CONCATENATE("https://us.pandora.net/on/demandware.static/-/Sites-pandora-master-catalog/default/dwbb259ca6/productimages/singlepackshot/",LEFT(A2811,FIND("-",A2811&amp;"-")-1),"_RGB.png")),""))),"{""url"":""https://us.pandora.net/on/demandware.static/-/Sites-pandora-master-catalog/default/dwbb259ca6/productimages/singlepackshot/763044C01_RGB.png"",""mode"":1}")</f>
        <v>{"url":"https://us.pandora.net/on/demandware.static/-/Sites-pandora-master-catalog/default/dwbb259ca6/productimages/singlepackshot/763044C01_RGB.png","mode":1}</v>
      </c>
      <c r="D2811" s="5" t="str">
        <f ca="1">IFERROR(ROWSDUMMYFUNCTION(IF(A2811="","",CONCATENATE("https://us.pandora.net/on/demandware.static/-/Sites-pandora-master-catalog/default/dwbb259ca6/productimages/singlepackshot/",LEFT(A2811,FIND("-",A2811&amp;"-")-1),"_RGB.png"))),"https://us.pandora.net/on/demandware.static/-/Sites-pandora-master-catalog/default/dwbb259ca6/productimages/singlepackshot/763044C01_RGB.png")</f>
        <v>https://us.pandora.net/on/demandware.static/-/Sites-pandora-master-catalog/default/dwbb259ca6/productimages/singlepackshot/763044C01_RGB.png</v>
      </c>
    </row>
    <row r="2812" spans="1:4" x14ac:dyDescent="0.25">
      <c r="A2812" s="3" t="s">
        <v>2814</v>
      </c>
      <c r="B2812" s="4">
        <v>49</v>
      </c>
      <c r="C2812" s="3" t="str">
        <f ca="1">IFERROR(ROWSDUMMYFUNCTION(IF(A2812="","",IFERROR(IMAGE(CONCATENATE("https://us.pandora.net/on/demandware.static/-/Sites-pandora-master-catalog/default/dwbb259ca6/productimages/singlepackshot/",LEFT(A2812,FIND("-",A2812&amp;"-")-1),"_RGB.png")),""))),"{""url"":""https://us.pandora.net/on/demandware.static/-/Sites-pandora-master-catalog/default/dwbb259ca6/productimages/singlepackshot/763055C00_RGB.png"",""mode"":1}")</f>
        <v>{"url":"https://us.pandora.net/on/demandware.static/-/Sites-pandora-master-catalog/default/dwbb259ca6/productimages/singlepackshot/763055C00_RGB.png","mode":1}</v>
      </c>
      <c r="D2812" s="5" t="str">
        <f ca="1">IFERROR(ROWSDUMMYFUNCTION(IF(A2812="","",CONCATENATE("https://us.pandora.net/on/demandware.static/-/Sites-pandora-master-catalog/default/dwbb259ca6/productimages/singlepackshot/",LEFT(A2812,FIND("-",A2812&amp;"-")-1),"_RGB.png"))),"https://us.pandora.net/on/demandware.static/-/Sites-pandora-master-catalog/default/dwbb259ca6/productimages/singlepackshot/763055C00_RGB.png")</f>
        <v>https://us.pandora.net/on/demandware.static/-/Sites-pandora-master-catalog/default/dwbb259ca6/productimages/singlepackshot/763055C00_RGB.png</v>
      </c>
    </row>
    <row r="2813" spans="1:4" x14ac:dyDescent="0.25">
      <c r="A2813" s="3" t="s">
        <v>2815</v>
      </c>
      <c r="B2813" s="4">
        <v>79</v>
      </c>
      <c r="C2813" s="3" t="str">
        <f ca="1">IFERROR(ROWSDUMMYFUNCTION(IF(A2813="","",IFERROR(IMAGE(CONCATENATE("https://us.pandora.net/on/demandware.static/-/Sites-pandora-master-catalog/default/dwbb259ca6/productimages/singlepackshot/",LEFT(A2813,FIND("-",A2813&amp;"-")-1),"_RGB.png")),""))),"{""url"":""https://us.pandora.net/on/demandware.static/-/Sites-pandora-master-catalog/default/dwbb259ca6/productimages/singlepackshot/763066C01_RGB.png"",""mode"":1}")</f>
        <v>{"url":"https://us.pandora.net/on/demandware.static/-/Sites-pandora-master-catalog/default/dwbb259ca6/productimages/singlepackshot/763066C01_RGB.png","mode":1}</v>
      </c>
      <c r="D2813" s="5" t="str">
        <f ca="1">IFERROR(ROWSDUMMYFUNCTION(IF(A2813="","",CONCATENATE("https://us.pandora.net/on/demandware.static/-/Sites-pandora-master-catalog/default/dwbb259ca6/productimages/singlepackshot/",LEFT(A2813,FIND("-",A2813&amp;"-")-1),"_RGB.png"))),"https://us.pandora.net/on/demandware.static/-/Sites-pandora-master-catalog/default/dwbb259ca6/productimages/singlepackshot/763066C01_RGB.png")</f>
        <v>https://us.pandora.net/on/demandware.static/-/Sites-pandora-master-catalog/default/dwbb259ca6/productimages/singlepackshot/763066C01_RGB.png</v>
      </c>
    </row>
    <row r="2814" spans="1:4" x14ac:dyDescent="0.25">
      <c r="A2814" s="3" t="s">
        <v>2816</v>
      </c>
      <c r="B2814" s="4">
        <v>89</v>
      </c>
      <c r="C2814" s="3" t="str">
        <f ca="1">IFERROR(ROWSDUMMYFUNCTION(IF(A2814="","",IFERROR(IMAGE(CONCATENATE("https://us.pandora.net/on/demandware.static/-/Sites-pandora-master-catalog/default/dwbb259ca6/productimages/singlepackshot/",LEFT(A2814,FIND("-",A2814&amp;"-")-1),"_RGB.png")),""))),"{""url"":""https://us.pandora.net/on/demandware.static/-/Sites-pandora-master-catalog/default/dwbb259ca6/productimages/singlepackshot/763072C01_RGB.png"",""mode"":1}")</f>
        <v>{"url":"https://us.pandora.net/on/demandware.static/-/Sites-pandora-master-catalog/default/dwbb259ca6/productimages/singlepackshot/763072C01_RGB.png","mode":1}</v>
      </c>
      <c r="D2814" s="5" t="str">
        <f ca="1">IFERROR(ROWSDUMMYFUNCTION(IF(A2814="","",CONCATENATE("https://us.pandora.net/on/demandware.static/-/Sites-pandora-master-catalog/default/dwbb259ca6/productimages/singlepackshot/",LEFT(A2814,FIND("-",A2814&amp;"-")-1),"_RGB.png"))),"https://us.pandora.net/on/demandware.static/-/Sites-pandora-master-catalog/default/dwbb259ca6/productimages/singlepackshot/763072C01_RGB.png")</f>
        <v>https://us.pandora.net/on/demandware.static/-/Sites-pandora-master-catalog/default/dwbb259ca6/productimages/singlepackshot/763072C01_RGB.png</v>
      </c>
    </row>
    <row r="2815" spans="1:4" x14ac:dyDescent="0.25">
      <c r="A2815" s="3" t="s">
        <v>2817</v>
      </c>
      <c r="B2815" s="4">
        <v>89</v>
      </c>
      <c r="C2815" s="3" t="str">
        <f ca="1">IFERROR(ROWSDUMMYFUNCTION(IF(A2815="","",IFERROR(IMAGE(CONCATENATE("https://us.pandora.net/on/demandware.static/-/Sites-pandora-master-catalog/default/dwbb259ca6/productimages/singlepackshot/",LEFT(A2815,FIND("-",A2815&amp;"-")-1),"_RGB.png")),""))),"{""url"":""https://us.pandora.net/on/demandware.static/-/Sites-pandora-master-catalog/default/dwbb259ca6/productimages/singlepackshot/763234C01_RGB.png"",""mode"":1}")</f>
        <v>{"url":"https://us.pandora.net/on/demandware.static/-/Sites-pandora-master-catalog/default/dwbb259ca6/productimages/singlepackshot/763234C01_RGB.png","mode":1}</v>
      </c>
      <c r="D2815" s="5" t="str">
        <f ca="1">IFERROR(ROWSDUMMYFUNCTION(IF(A2815="","",CONCATENATE("https://us.pandora.net/on/demandware.static/-/Sites-pandora-master-catalog/default/dwbb259ca6/productimages/singlepackshot/",LEFT(A2815,FIND("-",A2815&amp;"-")-1),"_RGB.png"))),"https://us.pandora.net/on/demandware.static/-/Sites-pandora-master-catalog/default/dwbb259ca6/productimages/singlepackshot/763234C01_RGB.png")</f>
        <v>https://us.pandora.net/on/demandware.static/-/Sites-pandora-master-catalog/default/dwbb259ca6/productimages/singlepackshot/763234C01_RGB.png</v>
      </c>
    </row>
    <row r="2816" spans="1:4" x14ac:dyDescent="0.25">
      <c r="A2816" s="3" t="s">
        <v>2818</v>
      </c>
      <c r="B2816" s="4">
        <v>75</v>
      </c>
      <c r="C2816" s="3" t="str">
        <f ca="1">IFERROR(ROWSDUMMYFUNCTION(IF(A2816="","",IFERROR(IMAGE(CONCATENATE("https://us.pandora.net/on/demandware.static/-/Sites-pandora-master-catalog/default/dwbb259ca6/productimages/singlepackshot/",LEFT(A2816,FIND("-",A2816&amp;"-")-1),"_RGB.png")),""))),"{""url"":""https://us.pandora.net/on/demandware.static/-/Sites-pandora-master-catalog/default/dwbb259ca6/productimages/singlepackshot/763237C01_RGB.png"",""mode"":1}")</f>
        <v>{"url":"https://us.pandora.net/on/demandware.static/-/Sites-pandora-master-catalog/default/dwbb259ca6/productimages/singlepackshot/763237C01_RGB.png","mode":1}</v>
      </c>
      <c r="D2816" s="5" t="str">
        <f ca="1">IFERROR(ROWSDUMMYFUNCTION(IF(A2816="","",CONCATENATE("https://us.pandora.net/on/demandware.static/-/Sites-pandora-master-catalog/default/dwbb259ca6/productimages/singlepackshot/",LEFT(A2816,FIND("-",A2816&amp;"-")-1),"_RGB.png"))),"https://us.pandora.net/on/demandware.static/-/Sites-pandora-master-catalog/default/dwbb259ca6/productimages/singlepackshot/763237C01_RGB.png")</f>
        <v>https://us.pandora.net/on/demandware.static/-/Sites-pandora-master-catalog/default/dwbb259ca6/productimages/singlepackshot/763237C01_RGB.png</v>
      </c>
    </row>
    <row r="2817" spans="1:4" x14ac:dyDescent="0.25">
      <c r="A2817" s="3" t="s">
        <v>2819</v>
      </c>
      <c r="B2817" s="4">
        <v>39</v>
      </c>
      <c r="C2817" s="3" t="str">
        <f ca="1">IFERROR(ROWSDUMMYFUNCTION(IF(A2817="","",IFERROR(IMAGE(CONCATENATE("https://us.pandora.net/on/demandware.static/-/Sites-pandora-master-catalog/default/dwbb259ca6/productimages/singlepackshot/",LEFT(A2817,FIND("-",A2817&amp;"-")-1),"_RGB.png")),""))),"{""url"":""https://us.pandora.net/on/demandware.static/-/Sites-pandora-master-catalog/default/dwbb259ca6/productimages/singlepackshot/763243C00_RGB.png"",""mode"":1}")</f>
        <v>{"url":"https://us.pandora.net/on/demandware.static/-/Sites-pandora-master-catalog/default/dwbb259ca6/productimages/singlepackshot/763243C00_RGB.png","mode":1}</v>
      </c>
      <c r="D2817" s="5" t="str">
        <f ca="1">IFERROR(ROWSDUMMYFUNCTION(IF(A2817="","",CONCATENATE("https://us.pandora.net/on/demandware.static/-/Sites-pandora-master-catalog/default/dwbb259ca6/productimages/singlepackshot/",LEFT(A2817,FIND("-",A2817&amp;"-")-1),"_RGB.png"))),"https://us.pandora.net/on/demandware.static/-/Sites-pandora-master-catalog/default/dwbb259ca6/productimages/singlepackshot/763243C00_RGB.png")</f>
        <v>https://us.pandora.net/on/demandware.static/-/Sites-pandora-master-catalog/default/dwbb259ca6/productimages/singlepackshot/763243C00_RGB.png</v>
      </c>
    </row>
    <row r="2818" spans="1:4" x14ac:dyDescent="0.25">
      <c r="A2818" s="3" t="s">
        <v>2820</v>
      </c>
      <c r="B2818" s="4">
        <v>55</v>
      </c>
      <c r="C2818" s="3" t="str">
        <f ca="1">IFERROR(ROWSDUMMYFUNCTION(IF(A2818="","",IFERROR(IMAGE(CONCATENATE("https://us.pandora.net/on/demandware.static/-/Sites-pandora-master-catalog/default/dwbb259ca6/productimages/singlepackshot/",LEFT(A2818,FIND("-",A2818&amp;"-")-1),"_RGB.png")),""))),"{""url"":""https://us.pandora.net/on/demandware.static/-/Sites-pandora-master-catalog/default/dwbb259ca6/productimages/singlepackshot/763330C01_RGB.png"",""mode"":1}")</f>
        <v>{"url":"https://us.pandora.net/on/demandware.static/-/Sites-pandora-master-catalog/default/dwbb259ca6/productimages/singlepackshot/763330C01_RGB.png","mode":1}</v>
      </c>
      <c r="D2818" s="5" t="str">
        <f ca="1">IFERROR(ROWSDUMMYFUNCTION(IF(A2818="","",CONCATENATE("https://us.pandora.net/on/demandware.static/-/Sites-pandora-master-catalog/default/dwbb259ca6/productimages/singlepackshot/",LEFT(A2818,FIND("-",A2818&amp;"-")-1),"_RGB.png"))),"https://us.pandora.net/on/demandware.static/-/Sites-pandora-master-catalog/default/dwbb259ca6/productimages/singlepackshot/763330C01_RGB.png")</f>
        <v>https://us.pandora.net/on/demandware.static/-/Sites-pandora-master-catalog/default/dwbb259ca6/productimages/singlepackshot/763330C01_RGB.png</v>
      </c>
    </row>
    <row r="2819" spans="1:4" x14ac:dyDescent="0.25">
      <c r="A2819" s="3" t="s">
        <v>2821</v>
      </c>
      <c r="B2819" s="4">
        <v>59</v>
      </c>
      <c r="C2819" s="3" t="str">
        <f ca="1">IFERROR(ROWSDUMMYFUNCTION(IF(A2819="","",IFERROR(IMAGE(CONCATENATE("https://us.pandora.net/on/demandware.static/-/Sites-pandora-master-catalog/default/dwbb259ca6/productimages/singlepackshot/",LEFT(A2819,FIND("-",A2819&amp;"-")-1),"_RGB.png")),""))),"{""url"":""https://us.pandora.net/on/demandware.static/-/Sites-pandora-master-catalog/default/dwbb259ca6/productimages/singlepackshot/763348C01_RGB.png"",""mode"":1}")</f>
        <v>{"url":"https://us.pandora.net/on/demandware.static/-/Sites-pandora-master-catalog/default/dwbb259ca6/productimages/singlepackshot/763348C01_RGB.png","mode":1}</v>
      </c>
      <c r="D2819" s="5" t="str">
        <f ca="1">IFERROR(ROWSDUMMYFUNCTION(IF(A2819="","",CONCATENATE("https://us.pandora.net/on/demandware.static/-/Sites-pandora-master-catalog/default/dwbb259ca6/productimages/singlepackshot/",LEFT(A2819,FIND("-",A2819&amp;"-")-1),"_RGB.png"))),"https://us.pandora.net/on/demandware.static/-/Sites-pandora-master-catalog/default/dwbb259ca6/productimages/singlepackshot/763348C01_RGB.png")</f>
        <v>https://us.pandora.net/on/demandware.static/-/Sites-pandora-master-catalog/default/dwbb259ca6/productimages/singlepackshot/763348C01_RGB.png</v>
      </c>
    </row>
    <row r="2820" spans="1:4" x14ac:dyDescent="0.25">
      <c r="A2820" s="3" t="s">
        <v>2822</v>
      </c>
      <c r="B2820" s="4">
        <v>59</v>
      </c>
      <c r="C2820" s="3" t="str">
        <f ca="1">IFERROR(ROWSDUMMYFUNCTION(IF(A2820="","",IFERROR(IMAGE(CONCATENATE("https://us.pandora.net/on/demandware.static/-/Sites-pandora-master-catalog/default/dwbb259ca6/productimages/singlepackshot/",LEFT(A2820,FIND("-",A2820&amp;"-")-1),"_RGB.png")),""))),"{""url"":""https://us.pandora.net/on/demandware.static/-/Sites-pandora-master-catalog/default/dwbb259ca6/productimages/singlepackshot/763349C01_RGB.png"",""mode"":1}")</f>
        <v>{"url":"https://us.pandora.net/on/demandware.static/-/Sites-pandora-master-catalog/default/dwbb259ca6/productimages/singlepackshot/763349C01_RGB.png","mode":1}</v>
      </c>
      <c r="D2820" s="5" t="str">
        <f ca="1">IFERROR(ROWSDUMMYFUNCTION(IF(A2820="","",CONCATENATE("https://us.pandora.net/on/demandware.static/-/Sites-pandora-master-catalog/default/dwbb259ca6/productimages/singlepackshot/",LEFT(A2820,FIND("-",A2820&amp;"-")-1),"_RGB.png"))),"https://us.pandora.net/on/demandware.static/-/Sites-pandora-master-catalog/default/dwbb259ca6/productimages/singlepackshot/763349C01_RGB.png")</f>
        <v>https://us.pandora.net/on/demandware.static/-/Sites-pandora-master-catalog/default/dwbb259ca6/productimages/singlepackshot/763349C01_RGB.png</v>
      </c>
    </row>
    <row r="2821" spans="1:4" x14ac:dyDescent="0.25">
      <c r="A2821" s="3" t="s">
        <v>2823</v>
      </c>
      <c r="B2821" s="4">
        <v>59</v>
      </c>
      <c r="C2821" s="3" t="str">
        <f ca="1">IFERROR(ROWSDUMMYFUNCTION(IF(A2821="","",IFERROR(IMAGE(CONCATENATE("https://us.pandora.net/on/demandware.static/-/Sites-pandora-master-catalog/default/dwbb259ca6/productimages/singlepackshot/",LEFT(A2821,FIND("-",A2821&amp;"-")-1),"_RGB.png")),""))),"{""url"":""https://us.pandora.net/on/demandware.static/-/Sites-pandora-master-catalog/default/dwbb259ca6/productimages/singlepackshot/763354C01_RGB.png"",""mode"":1}")</f>
        <v>{"url":"https://us.pandora.net/on/demandware.static/-/Sites-pandora-master-catalog/default/dwbb259ca6/productimages/singlepackshot/763354C01_RGB.png","mode":1}</v>
      </c>
      <c r="D2821" s="5" t="str">
        <f ca="1">IFERROR(ROWSDUMMYFUNCTION(IF(A2821="","",CONCATENATE("https://us.pandora.net/on/demandware.static/-/Sites-pandora-master-catalog/default/dwbb259ca6/productimages/singlepackshot/",LEFT(A2821,FIND("-",A2821&amp;"-")-1),"_RGB.png"))),"https://us.pandora.net/on/demandware.static/-/Sites-pandora-master-catalog/default/dwbb259ca6/productimages/singlepackshot/763354C01_RGB.png")</f>
        <v>https://us.pandora.net/on/demandware.static/-/Sites-pandora-master-catalog/default/dwbb259ca6/productimages/singlepackshot/763354C01_RGB.png</v>
      </c>
    </row>
    <row r="2822" spans="1:4" x14ac:dyDescent="0.25">
      <c r="A2822" s="3" t="s">
        <v>2824</v>
      </c>
      <c r="B2822" s="4">
        <v>59</v>
      </c>
      <c r="C2822" s="3" t="str">
        <f ca="1">IFERROR(ROWSDUMMYFUNCTION(IF(A2822="","",IFERROR(IMAGE(CONCATENATE("https://us.pandora.net/on/demandware.static/-/Sites-pandora-master-catalog/default/dwbb259ca6/productimages/singlepackshot/",LEFT(A2822,FIND("-",A2822&amp;"-")-1),"_RGB.png")),""))),"{""url"":""https://us.pandora.net/on/demandware.static/-/Sites-pandora-master-catalog/default/dwbb259ca6/productimages/singlepackshot/763366C01_RGB.png"",""mode"":1}")</f>
        <v>{"url":"https://us.pandora.net/on/demandware.static/-/Sites-pandora-master-catalog/default/dwbb259ca6/productimages/singlepackshot/763366C01_RGB.png","mode":1}</v>
      </c>
      <c r="D2822" s="5" t="str">
        <f ca="1">IFERROR(ROWSDUMMYFUNCTION(IF(A2822="","",CONCATENATE("https://us.pandora.net/on/demandware.static/-/Sites-pandora-master-catalog/default/dwbb259ca6/productimages/singlepackshot/",LEFT(A2822,FIND("-",A2822&amp;"-")-1),"_RGB.png"))),"https://us.pandora.net/on/demandware.static/-/Sites-pandora-master-catalog/default/dwbb259ca6/productimages/singlepackshot/763366C01_RGB.png")</f>
        <v>https://us.pandora.net/on/demandware.static/-/Sites-pandora-master-catalog/default/dwbb259ca6/productimages/singlepackshot/763366C01_RGB.png</v>
      </c>
    </row>
    <row r="2823" spans="1:4" x14ac:dyDescent="0.25">
      <c r="A2823" s="3" t="s">
        <v>2825</v>
      </c>
      <c r="B2823" s="4">
        <v>49</v>
      </c>
      <c r="C2823" s="3" t="str">
        <f ca="1">IFERROR(ROWSDUMMYFUNCTION(IF(A2823="","",IFERROR(IMAGE(CONCATENATE("https://us.pandora.net/on/demandware.static/-/Sites-pandora-master-catalog/default/dwbb259ca6/productimages/singlepackshot/",LEFT(A2823,FIND("-",A2823&amp;"-")-1),"_RGB.png")),""))),"{""url"":""https://us.pandora.net/on/demandware.static/-/Sites-pandora-master-catalog/default/dwbb259ca6/productimages/singlepackshot/763368C01_RGB.png"",""mode"":1}")</f>
        <v>{"url":"https://us.pandora.net/on/demandware.static/-/Sites-pandora-master-catalog/default/dwbb259ca6/productimages/singlepackshot/763368C01_RGB.png","mode":1}</v>
      </c>
      <c r="D2823" s="5" t="str">
        <f ca="1">IFERROR(ROWSDUMMYFUNCTION(IF(A2823="","",CONCATENATE("https://us.pandora.net/on/demandware.static/-/Sites-pandora-master-catalog/default/dwbb259ca6/productimages/singlepackshot/",LEFT(A2823,FIND("-",A2823&amp;"-")-1),"_RGB.png"))),"https://us.pandora.net/on/demandware.static/-/Sites-pandora-master-catalog/default/dwbb259ca6/productimages/singlepackshot/763368C01_RGB.png")</f>
        <v>https://us.pandora.net/on/demandware.static/-/Sites-pandora-master-catalog/default/dwbb259ca6/productimages/singlepackshot/763368C01_RGB.png</v>
      </c>
    </row>
    <row r="2824" spans="1:4" x14ac:dyDescent="0.25">
      <c r="A2824" s="3" t="s">
        <v>2826</v>
      </c>
      <c r="B2824" s="4">
        <v>39</v>
      </c>
      <c r="C2824" s="3" t="str">
        <f ca="1">IFERROR(ROWSDUMMYFUNCTION(IF(A2824="","",IFERROR(IMAGE(CONCATENATE("https://us.pandora.net/on/demandware.static/-/Sites-pandora-master-catalog/default/dwbb259ca6/productimages/singlepackshot/",LEFT(A2824,FIND("-",A2824&amp;"-")-1),"_RGB.png")),""))),"{""url"":""https://us.pandora.net/on/demandware.static/-/Sites-pandora-master-catalog/default/dwbb259ca6/productimages/singlepackshot/763369C01_RGB.png"",""mode"":1}")</f>
        <v>{"url":"https://us.pandora.net/on/demandware.static/-/Sites-pandora-master-catalog/default/dwbb259ca6/productimages/singlepackshot/763369C01_RGB.png","mode":1}</v>
      </c>
      <c r="D2824" s="5" t="str">
        <f ca="1">IFERROR(ROWSDUMMYFUNCTION(IF(A2824="","",CONCATENATE("https://us.pandora.net/on/demandware.static/-/Sites-pandora-master-catalog/default/dwbb259ca6/productimages/singlepackshot/",LEFT(A2824,FIND("-",A2824&amp;"-")-1),"_RGB.png"))),"https://us.pandora.net/on/demandware.static/-/Sites-pandora-master-catalog/default/dwbb259ca6/productimages/singlepackshot/763369C01_RGB.png")</f>
        <v>https://us.pandora.net/on/demandware.static/-/Sites-pandora-master-catalog/default/dwbb259ca6/productimages/singlepackshot/763369C01_RGB.png</v>
      </c>
    </row>
    <row r="2825" spans="1:4" x14ac:dyDescent="0.25">
      <c r="A2825" s="3" t="s">
        <v>2827</v>
      </c>
      <c r="B2825" s="4">
        <v>39</v>
      </c>
      <c r="C2825" s="3" t="str">
        <f ca="1">IFERROR(ROWSDUMMYFUNCTION(IF(A2825="","",IFERROR(IMAGE(CONCATENATE("https://us.pandora.net/on/demandware.static/-/Sites-pandora-master-catalog/default/dwbb259ca6/productimages/singlepackshot/",LEFT(A2825,FIND("-",A2825&amp;"-")-1),"_RGB.png")),""))),"{""url"":""https://us.pandora.net/on/demandware.static/-/Sites-pandora-master-catalog/default/dwbb259ca6/productimages/singlepackshot/763373C01_RGB.png"",""mode"":1}")</f>
        <v>{"url":"https://us.pandora.net/on/demandware.static/-/Sites-pandora-master-catalog/default/dwbb259ca6/productimages/singlepackshot/763373C01_RGB.png","mode":1}</v>
      </c>
      <c r="D2825" s="5" t="str">
        <f ca="1">IFERROR(ROWSDUMMYFUNCTION(IF(A2825="","",CONCATENATE("https://us.pandora.net/on/demandware.static/-/Sites-pandora-master-catalog/default/dwbb259ca6/productimages/singlepackshot/",LEFT(A2825,FIND("-",A2825&amp;"-")-1),"_RGB.png"))),"https://us.pandora.net/on/demandware.static/-/Sites-pandora-master-catalog/default/dwbb259ca6/productimages/singlepackshot/763373C01_RGB.png")</f>
        <v>https://us.pandora.net/on/demandware.static/-/Sites-pandora-master-catalog/default/dwbb259ca6/productimages/singlepackshot/763373C01_RGB.png</v>
      </c>
    </row>
    <row r="2826" spans="1:4" x14ac:dyDescent="0.25">
      <c r="A2826" s="3" t="s">
        <v>2828</v>
      </c>
      <c r="B2826" s="4">
        <v>49</v>
      </c>
      <c r="C2826" s="3" t="str">
        <f ca="1">IFERROR(ROWSDUMMYFUNCTION(IF(A2826="","",IFERROR(IMAGE(CONCATENATE("https://us.pandora.net/on/demandware.static/-/Sites-pandora-master-catalog/default/dwbb259ca6/productimages/singlepackshot/",LEFT(A2826,FIND("-",A2826&amp;"-")-1),"_RGB.png")),""))),"{""url"":""https://us.pandora.net/on/demandware.static/-/Sites-pandora-master-catalog/default/dwbb259ca6/productimages/singlepackshot/763375C01_RGB.png"",""mode"":1}")</f>
        <v>{"url":"https://us.pandora.net/on/demandware.static/-/Sites-pandora-master-catalog/default/dwbb259ca6/productimages/singlepackshot/763375C01_RGB.png","mode":1}</v>
      </c>
      <c r="D2826" s="5" t="str">
        <f ca="1">IFERROR(ROWSDUMMYFUNCTION(IF(A2826="","",CONCATENATE("https://us.pandora.net/on/demandware.static/-/Sites-pandora-master-catalog/default/dwbb259ca6/productimages/singlepackshot/",LEFT(A2826,FIND("-",A2826&amp;"-")-1),"_RGB.png"))),"https://us.pandora.net/on/demandware.static/-/Sites-pandora-master-catalog/default/dwbb259ca6/productimages/singlepackshot/763375C01_RGB.png")</f>
        <v>https://us.pandora.net/on/demandware.static/-/Sites-pandora-master-catalog/default/dwbb259ca6/productimages/singlepackshot/763375C01_RGB.png</v>
      </c>
    </row>
    <row r="2827" spans="1:4" x14ac:dyDescent="0.25">
      <c r="A2827" s="3" t="s">
        <v>2829</v>
      </c>
      <c r="B2827" s="4">
        <v>79</v>
      </c>
      <c r="C2827" s="3" t="str">
        <f ca="1">IFERROR(ROWSDUMMYFUNCTION(IF(A2827="","",IFERROR(IMAGE(CONCATENATE("https://us.pandora.net/on/demandware.static/-/Sites-pandora-master-catalog/default/dwbb259ca6/productimages/singlepackshot/",LEFT(A2827,FIND("-",A2827&amp;"-")-1),"_RGB.png")),""))),"{""url"":""https://us.pandora.net/on/demandware.static/-/Sites-pandora-master-catalog/default/dwbb259ca6/productimages/singlepackshot/763376C01_RGB.png"",""mode"":1}")</f>
        <v>{"url":"https://us.pandora.net/on/demandware.static/-/Sites-pandora-master-catalog/default/dwbb259ca6/productimages/singlepackshot/763376C01_RGB.png","mode":1}</v>
      </c>
      <c r="D2827" s="5" t="str">
        <f ca="1">IFERROR(ROWSDUMMYFUNCTION(IF(A2827="","",CONCATENATE("https://us.pandora.net/on/demandware.static/-/Sites-pandora-master-catalog/default/dwbb259ca6/productimages/singlepackshot/",LEFT(A2827,FIND("-",A2827&amp;"-")-1),"_RGB.png"))),"https://us.pandora.net/on/demandware.static/-/Sites-pandora-master-catalog/default/dwbb259ca6/productimages/singlepackshot/763376C01_RGB.png")</f>
        <v>https://us.pandora.net/on/demandware.static/-/Sites-pandora-master-catalog/default/dwbb259ca6/productimages/singlepackshot/763376C01_RGB.png</v>
      </c>
    </row>
    <row r="2828" spans="1:4" x14ac:dyDescent="0.25">
      <c r="A2828" s="3" t="s">
        <v>2830</v>
      </c>
      <c r="B2828" s="4">
        <v>49</v>
      </c>
      <c r="C2828" s="3" t="str">
        <f ca="1">IFERROR(ROWSDUMMYFUNCTION(IF(A2828="","",IFERROR(IMAGE(CONCATENATE("https://us.pandora.net/on/demandware.static/-/Sites-pandora-master-catalog/default/dwbb259ca6/productimages/singlepackshot/",LEFT(A2828,FIND("-",A2828&amp;"-")-1),"_RGB.png")),""))),"{""url"":""https://us.pandora.net/on/demandware.static/-/Sites-pandora-master-catalog/default/dwbb259ca6/productimages/singlepackshot/763388C01_RGB.png"",""mode"":1}")</f>
        <v>{"url":"https://us.pandora.net/on/demandware.static/-/Sites-pandora-master-catalog/default/dwbb259ca6/productimages/singlepackshot/763388C01_RGB.png","mode":1}</v>
      </c>
      <c r="D2828" s="5" t="str">
        <f ca="1">IFERROR(ROWSDUMMYFUNCTION(IF(A2828="","",CONCATENATE("https://us.pandora.net/on/demandware.static/-/Sites-pandora-master-catalog/default/dwbb259ca6/productimages/singlepackshot/",LEFT(A2828,FIND("-",A2828&amp;"-")-1),"_RGB.png"))),"https://us.pandora.net/on/demandware.static/-/Sites-pandora-master-catalog/default/dwbb259ca6/productimages/singlepackshot/763388C01_RGB.png")</f>
        <v>https://us.pandora.net/on/demandware.static/-/Sites-pandora-master-catalog/default/dwbb259ca6/productimages/singlepackshot/763388C01_RGB.png</v>
      </c>
    </row>
    <row r="2829" spans="1:4" x14ac:dyDescent="0.25">
      <c r="A2829" s="3" t="s">
        <v>2831</v>
      </c>
      <c r="B2829" s="4">
        <v>49</v>
      </c>
      <c r="C2829" s="3" t="str">
        <f ca="1">IFERROR(ROWSDUMMYFUNCTION(IF(A2829="","",IFERROR(IMAGE(CONCATENATE("https://us.pandora.net/on/demandware.static/-/Sites-pandora-master-catalog/default/dwbb259ca6/productimages/singlepackshot/",LEFT(A2829,FIND("-",A2829&amp;"-")-1),"_RGB.png")),""))),"{""url"":""https://us.pandora.net/on/demandware.static/-/Sites-pandora-master-catalog/default/dwbb259ca6/productimages/singlepackshot/763389C01_RGB.png"",""mode"":1}")</f>
        <v>{"url":"https://us.pandora.net/on/demandware.static/-/Sites-pandora-master-catalog/default/dwbb259ca6/productimages/singlepackshot/763389C01_RGB.png","mode":1}</v>
      </c>
      <c r="D2829" s="5" t="str">
        <f ca="1">IFERROR(ROWSDUMMYFUNCTION(IF(A2829="","",CONCATENATE("https://us.pandora.net/on/demandware.static/-/Sites-pandora-master-catalog/default/dwbb259ca6/productimages/singlepackshot/",LEFT(A2829,FIND("-",A2829&amp;"-")-1),"_RGB.png"))),"https://us.pandora.net/on/demandware.static/-/Sites-pandora-master-catalog/default/dwbb259ca6/productimages/singlepackshot/763389C01_RGB.png")</f>
        <v>https://us.pandora.net/on/demandware.static/-/Sites-pandora-master-catalog/default/dwbb259ca6/productimages/singlepackshot/763389C01_RGB.png</v>
      </c>
    </row>
    <row r="2830" spans="1:4" x14ac:dyDescent="0.25">
      <c r="A2830" s="3" t="s">
        <v>2832</v>
      </c>
      <c r="B2830" s="4">
        <v>59</v>
      </c>
      <c r="C2830" s="3" t="str">
        <f ca="1">IFERROR(ROWSDUMMYFUNCTION(IF(A2830="","",IFERROR(IMAGE(CONCATENATE("https://us.pandora.net/on/demandware.static/-/Sites-pandora-master-catalog/default/dwbb259ca6/productimages/singlepackshot/",LEFT(A2830,FIND("-",A2830&amp;"-")-1),"_RGB.png")),""))),"{""url"":""https://us.pandora.net/on/demandware.static/-/Sites-pandora-master-catalog/default/dwbb259ca6/productimages/singlepackshot/763405C01_RGB.png"",""mode"":1}")</f>
        <v>{"url":"https://us.pandora.net/on/demandware.static/-/Sites-pandora-master-catalog/default/dwbb259ca6/productimages/singlepackshot/763405C01_RGB.png","mode":1}</v>
      </c>
      <c r="D2830" s="5" t="str">
        <f ca="1">IFERROR(ROWSDUMMYFUNCTION(IF(A2830="","",CONCATENATE("https://us.pandora.net/on/demandware.static/-/Sites-pandora-master-catalog/default/dwbb259ca6/productimages/singlepackshot/",LEFT(A2830,FIND("-",A2830&amp;"-")-1),"_RGB.png"))),"https://us.pandora.net/on/demandware.static/-/Sites-pandora-master-catalog/default/dwbb259ca6/productimages/singlepackshot/763405C01_RGB.png")</f>
        <v>https://us.pandora.net/on/demandware.static/-/Sites-pandora-master-catalog/default/dwbb259ca6/productimages/singlepackshot/763405C01_RGB.png</v>
      </c>
    </row>
    <row r="2831" spans="1:4" x14ac:dyDescent="0.25">
      <c r="A2831" s="3" t="s">
        <v>2833</v>
      </c>
      <c r="B2831" s="4">
        <v>59</v>
      </c>
      <c r="C2831" s="3" t="str">
        <f ca="1">IFERROR(ROWSDUMMYFUNCTION(IF(A2831="","",IFERROR(IMAGE(CONCATENATE("https://us.pandora.net/on/demandware.static/-/Sites-pandora-master-catalog/default/dwbb259ca6/productimages/singlepackshot/",LEFT(A2831,FIND("-",A2831&amp;"-")-1),"_RGB.png")),""))),"{""url"":""https://us.pandora.net/on/demandware.static/-/Sites-pandora-master-catalog/default/dwbb259ca6/productimages/singlepackshot/763413C01_RGB.png"",""mode"":1}")</f>
        <v>{"url":"https://us.pandora.net/on/demandware.static/-/Sites-pandora-master-catalog/default/dwbb259ca6/productimages/singlepackshot/763413C01_RGB.png","mode":1}</v>
      </c>
      <c r="D2831" s="5" t="str">
        <f ca="1">IFERROR(ROWSDUMMYFUNCTION(IF(A2831="","",CONCATENATE("https://us.pandora.net/on/demandware.static/-/Sites-pandora-master-catalog/default/dwbb259ca6/productimages/singlepackshot/",LEFT(A2831,FIND("-",A2831&amp;"-")-1),"_RGB.png"))),"https://us.pandora.net/on/demandware.static/-/Sites-pandora-master-catalog/default/dwbb259ca6/productimages/singlepackshot/763413C01_RGB.png")</f>
        <v>https://us.pandora.net/on/demandware.static/-/Sites-pandora-master-catalog/default/dwbb259ca6/productimages/singlepackshot/763413C01_RGB.png</v>
      </c>
    </row>
    <row r="2832" spans="1:4" x14ac:dyDescent="0.25">
      <c r="A2832" s="3" t="s">
        <v>2834</v>
      </c>
      <c r="B2832" s="4">
        <v>55</v>
      </c>
      <c r="C2832" s="3" t="str">
        <f ca="1">IFERROR(ROWSDUMMYFUNCTION(IF(A2832="","",IFERROR(IMAGE(CONCATENATE("https://us.pandora.net/on/demandware.static/-/Sites-pandora-master-catalog/default/dwbb259ca6/productimages/singlepackshot/",LEFT(A2832,FIND("-",A2832&amp;"-")-1),"_RGB.png")),""))),"{""url"":""https://us.pandora.net/on/demandware.static/-/Sites-pandora-master-catalog/default/dwbb259ca6/productimages/singlepackshot/763417C01_RGB.png"",""mode"":1}")</f>
        <v>{"url":"https://us.pandora.net/on/demandware.static/-/Sites-pandora-master-catalog/default/dwbb259ca6/productimages/singlepackshot/763417C01_RGB.png","mode":1}</v>
      </c>
      <c r="D2832" s="5" t="str">
        <f ca="1">IFERROR(ROWSDUMMYFUNCTION(IF(A2832="","",CONCATENATE("https://us.pandora.net/on/demandware.static/-/Sites-pandora-master-catalog/default/dwbb259ca6/productimages/singlepackshot/",LEFT(A2832,FIND("-",A2832&amp;"-")-1),"_RGB.png"))),"https://us.pandora.net/on/demandware.static/-/Sites-pandora-master-catalog/default/dwbb259ca6/productimages/singlepackshot/763417C01_RGB.png")</f>
        <v>https://us.pandora.net/on/demandware.static/-/Sites-pandora-master-catalog/default/dwbb259ca6/productimages/singlepackshot/763417C01_RGB.png</v>
      </c>
    </row>
    <row r="2833" spans="1:4" x14ac:dyDescent="0.25">
      <c r="A2833" s="3" t="s">
        <v>2835</v>
      </c>
      <c r="B2833" s="4">
        <v>69</v>
      </c>
      <c r="C2833" s="3" t="str">
        <f ca="1">IFERROR(ROWSDUMMYFUNCTION(IF(A2833="","",IFERROR(IMAGE(CONCATENATE("https://us.pandora.net/on/demandware.static/-/Sites-pandora-master-catalog/default/dwbb259ca6/productimages/singlepackshot/",LEFT(A2833,FIND("-",A2833&amp;"-")-1),"_RGB.png")),""))),"{""url"":""https://us.pandora.net/on/demandware.static/-/Sites-pandora-master-catalog/default/dwbb259ca6/productimages/singlepackshot/763421C01_RGB.png"",""mode"":1}")</f>
        <v>{"url":"https://us.pandora.net/on/demandware.static/-/Sites-pandora-master-catalog/default/dwbb259ca6/productimages/singlepackshot/763421C01_RGB.png","mode":1}</v>
      </c>
      <c r="D2833" s="5" t="str">
        <f ca="1">IFERROR(ROWSDUMMYFUNCTION(IF(A2833="","",CONCATENATE("https://us.pandora.net/on/demandware.static/-/Sites-pandora-master-catalog/default/dwbb259ca6/productimages/singlepackshot/",LEFT(A2833,FIND("-",A2833&amp;"-")-1),"_RGB.png"))),"https://us.pandora.net/on/demandware.static/-/Sites-pandora-master-catalog/default/dwbb259ca6/productimages/singlepackshot/763421C01_RGB.png")</f>
        <v>https://us.pandora.net/on/demandware.static/-/Sites-pandora-master-catalog/default/dwbb259ca6/productimages/singlepackshot/763421C01_RGB.png</v>
      </c>
    </row>
    <row r="2834" spans="1:4" x14ac:dyDescent="0.25">
      <c r="A2834" s="3" t="s">
        <v>2836</v>
      </c>
      <c r="B2834" s="4">
        <v>65</v>
      </c>
      <c r="C2834" s="3" t="str">
        <f ca="1">IFERROR(ROWSDUMMYFUNCTION(IF(A2834="","",IFERROR(IMAGE(CONCATENATE("https://us.pandora.net/on/demandware.static/-/Sites-pandora-master-catalog/default/dwbb259ca6/productimages/singlepackshot/",LEFT(A2834,FIND("-",A2834&amp;"-")-1),"_RGB.png")),""))),"{""url"":""https://us.pandora.net/on/demandware.static/-/Sites-pandora-master-catalog/default/dwbb259ca6/productimages/singlepackshot/763435C00_RGB.png"",""mode"":1}")</f>
        <v>{"url":"https://us.pandora.net/on/demandware.static/-/Sites-pandora-master-catalog/default/dwbb259ca6/productimages/singlepackshot/763435C00_RGB.png","mode":1}</v>
      </c>
      <c r="D2834" s="5" t="str">
        <f ca="1">IFERROR(ROWSDUMMYFUNCTION(IF(A2834="","",CONCATENATE("https://us.pandora.net/on/demandware.static/-/Sites-pandora-master-catalog/default/dwbb259ca6/productimages/singlepackshot/",LEFT(A2834,FIND("-",A2834&amp;"-")-1),"_RGB.png"))),"https://us.pandora.net/on/demandware.static/-/Sites-pandora-master-catalog/default/dwbb259ca6/productimages/singlepackshot/763435C00_RGB.png")</f>
        <v>https://us.pandora.net/on/demandware.static/-/Sites-pandora-master-catalog/default/dwbb259ca6/productimages/singlepackshot/763435C00_RGB.png</v>
      </c>
    </row>
    <row r="2835" spans="1:4" x14ac:dyDescent="0.25">
      <c r="A2835" s="3" t="s">
        <v>2837</v>
      </c>
      <c r="B2835" s="4">
        <v>55</v>
      </c>
      <c r="C2835" s="3" t="str">
        <f ca="1">IFERROR(ROWSDUMMYFUNCTION(IF(A2835="","",IFERROR(IMAGE(CONCATENATE("https://us.pandora.net/on/demandware.static/-/Sites-pandora-master-catalog/default/dwbb259ca6/productimages/singlepackshot/",LEFT(A2835,FIND("-",A2835&amp;"-")-1),"_RGB.png")),""))),"{""url"":""https://us.pandora.net/on/demandware.static/-/Sites-pandora-master-catalog/default/dwbb259ca6/productimages/singlepackshot/763436C01_RGB.png"",""mode"":1}")</f>
        <v>{"url":"https://us.pandora.net/on/demandware.static/-/Sites-pandora-master-catalog/default/dwbb259ca6/productimages/singlepackshot/763436C01_RGB.png","mode":1}</v>
      </c>
      <c r="D2835" s="5" t="str">
        <f ca="1">IFERROR(ROWSDUMMYFUNCTION(IF(A2835="","",CONCATENATE("https://us.pandora.net/on/demandware.static/-/Sites-pandora-master-catalog/default/dwbb259ca6/productimages/singlepackshot/",LEFT(A2835,FIND("-",A2835&amp;"-")-1),"_RGB.png"))),"https://us.pandora.net/on/demandware.static/-/Sites-pandora-master-catalog/default/dwbb259ca6/productimages/singlepackshot/763436C01_RGB.png")</f>
        <v>https://us.pandora.net/on/demandware.static/-/Sites-pandora-master-catalog/default/dwbb259ca6/productimages/singlepackshot/763436C01_RGB.png</v>
      </c>
    </row>
    <row r="2836" spans="1:4" x14ac:dyDescent="0.25">
      <c r="A2836" s="3" t="s">
        <v>2838</v>
      </c>
      <c r="B2836" s="4">
        <v>49</v>
      </c>
      <c r="C2836" s="3" t="str">
        <f ca="1">IFERROR(ROWSDUMMYFUNCTION(IF(A2836="","",IFERROR(IMAGE(CONCATENATE("https://us.pandora.net/on/demandware.static/-/Sites-pandora-master-catalog/default/dwbb259ca6/productimages/singlepackshot/",LEFT(A2836,FIND("-",A2836&amp;"-")-1),"_RGB.png")),""))),"{""url"":""https://us.pandora.net/on/demandware.static/-/Sites-pandora-master-catalog/default/dwbb259ca6/productimages/singlepackshot/763439C00_RGB.png"",""mode"":1}")</f>
        <v>{"url":"https://us.pandora.net/on/demandware.static/-/Sites-pandora-master-catalog/default/dwbb259ca6/productimages/singlepackshot/763439C00_RGB.png","mode":1}</v>
      </c>
      <c r="D2836" s="5" t="str">
        <f ca="1">IFERROR(ROWSDUMMYFUNCTION(IF(A2836="","",CONCATENATE("https://us.pandora.net/on/demandware.static/-/Sites-pandora-master-catalog/default/dwbb259ca6/productimages/singlepackshot/",LEFT(A2836,FIND("-",A2836&amp;"-")-1),"_RGB.png"))),"https://us.pandora.net/on/demandware.static/-/Sites-pandora-master-catalog/default/dwbb259ca6/productimages/singlepackshot/763439C00_RGB.png")</f>
        <v>https://us.pandora.net/on/demandware.static/-/Sites-pandora-master-catalog/default/dwbb259ca6/productimages/singlepackshot/763439C00_RGB.png</v>
      </c>
    </row>
    <row r="2837" spans="1:4" x14ac:dyDescent="0.25">
      <c r="A2837" s="3" t="s">
        <v>2839</v>
      </c>
      <c r="B2837" s="4">
        <v>59</v>
      </c>
      <c r="C2837" s="3" t="str">
        <f ca="1">IFERROR(ROWSDUMMYFUNCTION(IF(A2837="","",IFERROR(IMAGE(CONCATENATE("https://us.pandora.net/on/demandware.static/-/Sites-pandora-master-catalog/default/dwbb259ca6/productimages/singlepackshot/",LEFT(A2837,FIND("-",A2837&amp;"-")-1),"_RGB.png")),""))),"{""url"":""https://us.pandora.net/on/demandware.static/-/Sites-pandora-master-catalog/default/dwbb259ca6/productimages/singlepackshot/763442C01_RGB.png"",""mode"":1}")</f>
        <v>{"url":"https://us.pandora.net/on/demandware.static/-/Sites-pandora-master-catalog/default/dwbb259ca6/productimages/singlepackshot/763442C01_RGB.png","mode":1}</v>
      </c>
      <c r="D2837" s="5" t="str">
        <f ca="1">IFERROR(ROWSDUMMYFUNCTION(IF(A2837="","",CONCATENATE("https://us.pandora.net/on/demandware.static/-/Sites-pandora-master-catalog/default/dwbb259ca6/productimages/singlepackshot/",LEFT(A2837,FIND("-",A2837&amp;"-")-1),"_RGB.png"))),"https://us.pandora.net/on/demandware.static/-/Sites-pandora-master-catalog/default/dwbb259ca6/productimages/singlepackshot/763442C01_RGB.png")</f>
        <v>https://us.pandora.net/on/demandware.static/-/Sites-pandora-master-catalog/default/dwbb259ca6/productimages/singlepackshot/763442C01_RGB.png</v>
      </c>
    </row>
    <row r="2838" spans="1:4" x14ac:dyDescent="0.25">
      <c r="A2838" s="3" t="s">
        <v>2840</v>
      </c>
      <c r="B2838" s="4">
        <v>55</v>
      </c>
      <c r="C2838" s="3" t="str">
        <f ca="1">IFERROR(ROWSDUMMYFUNCTION(IF(A2838="","",IFERROR(IMAGE(CONCATENATE("https://us.pandora.net/on/demandware.static/-/Sites-pandora-master-catalog/default/dwbb259ca6/productimages/singlepackshot/",LEFT(A2838,FIND("-",A2838&amp;"-")-1),"_RGB.png")),""))),"{""url"":""https://us.pandora.net/on/demandware.static/-/Sites-pandora-master-catalog/default/dwbb259ca6/productimages/singlepackshot/763453C01_RGB.png"",""mode"":1}")</f>
        <v>{"url":"https://us.pandora.net/on/demandware.static/-/Sites-pandora-master-catalog/default/dwbb259ca6/productimages/singlepackshot/763453C01_RGB.png","mode":1}</v>
      </c>
      <c r="D2838" s="5" t="str">
        <f ca="1">IFERROR(ROWSDUMMYFUNCTION(IF(A2838="","",CONCATENATE("https://us.pandora.net/on/demandware.static/-/Sites-pandora-master-catalog/default/dwbb259ca6/productimages/singlepackshot/",LEFT(A2838,FIND("-",A2838&amp;"-")-1),"_RGB.png"))),"https://us.pandora.net/on/demandware.static/-/Sites-pandora-master-catalog/default/dwbb259ca6/productimages/singlepackshot/763453C01_RGB.png")</f>
        <v>https://us.pandora.net/on/demandware.static/-/Sites-pandora-master-catalog/default/dwbb259ca6/productimages/singlepackshot/763453C01_RGB.png</v>
      </c>
    </row>
    <row r="2839" spans="1:4" x14ac:dyDescent="0.25">
      <c r="A2839" s="3" t="s">
        <v>2841</v>
      </c>
      <c r="B2839" s="4">
        <v>59</v>
      </c>
      <c r="C2839" s="3" t="str">
        <f ca="1">IFERROR(ROWSDUMMYFUNCTION(IF(A2839="","",IFERROR(IMAGE(CONCATENATE("https://us.pandora.net/on/demandware.static/-/Sites-pandora-master-catalog/default/dwbb259ca6/productimages/singlepackshot/",LEFT(A2839,FIND("-",A2839&amp;"-")-1),"_RGB.png")),""))),"{""url"":""https://us.pandora.net/on/demandware.static/-/Sites-pandora-master-catalog/default/dwbb259ca6/productimages/singlepackshot/763462C01_RGB.png"",""mode"":1}")</f>
        <v>{"url":"https://us.pandora.net/on/demandware.static/-/Sites-pandora-master-catalog/default/dwbb259ca6/productimages/singlepackshot/763462C01_RGB.png","mode":1}</v>
      </c>
      <c r="D2839" s="5" t="str">
        <f ca="1">IFERROR(ROWSDUMMYFUNCTION(IF(A2839="","",CONCATENATE("https://us.pandora.net/on/demandware.static/-/Sites-pandora-master-catalog/default/dwbb259ca6/productimages/singlepackshot/",LEFT(A2839,FIND("-",A2839&amp;"-")-1),"_RGB.png"))),"https://us.pandora.net/on/demandware.static/-/Sites-pandora-master-catalog/default/dwbb259ca6/productimages/singlepackshot/763462C01_RGB.png")</f>
        <v>https://us.pandora.net/on/demandware.static/-/Sites-pandora-master-catalog/default/dwbb259ca6/productimages/singlepackshot/763462C01_RGB.png</v>
      </c>
    </row>
    <row r="2840" spans="1:4" x14ac:dyDescent="0.25">
      <c r="A2840" s="3" t="s">
        <v>2842</v>
      </c>
      <c r="B2840" s="4">
        <v>59</v>
      </c>
      <c r="C2840" s="3" t="str">
        <f ca="1">IFERROR(ROWSDUMMYFUNCTION(IF(A2840="","",IFERROR(IMAGE(CONCATENATE("https://us.pandora.net/on/demandware.static/-/Sites-pandora-master-catalog/default/dwbb259ca6/productimages/singlepackshot/",LEFT(A2840,FIND("-",A2840&amp;"-")-1),"_RGB.png")),""))),"{""url"":""https://us.pandora.net/on/demandware.static/-/Sites-pandora-master-catalog/default/dwbb259ca6/productimages/singlepackshot/763462C03_RGB.png"",""mode"":1}")</f>
        <v>{"url":"https://us.pandora.net/on/demandware.static/-/Sites-pandora-master-catalog/default/dwbb259ca6/productimages/singlepackshot/763462C03_RGB.png","mode":1}</v>
      </c>
      <c r="D2840" s="5" t="str">
        <f ca="1">IFERROR(ROWSDUMMYFUNCTION(IF(A2840="","",CONCATENATE("https://us.pandora.net/on/demandware.static/-/Sites-pandora-master-catalog/default/dwbb259ca6/productimages/singlepackshot/",LEFT(A2840,FIND("-",A2840&amp;"-")-1),"_RGB.png"))),"https://us.pandora.net/on/demandware.static/-/Sites-pandora-master-catalog/default/dwbb259ca6/productimages/singlepackshot/763462C03_RGB.png")</f>
        <v>https://us.pandora.net/on/demandware.static/-/Sites-pandora-master-catalog/default/dwbb259ca6/productimages/singlepackshot/763462C03_RGB.png</v>
      </c>
    </row>
    <row r="2841" spans="1:4" x14ac:dyDescent="0.25">
      <c r="A2841" s="3" t="s">
        <v>2843</v>
      </c>
      <c r="B2841" s="4">
        <v>59</v>
      </c>
      <c r="C2841" s="3" t="str">
        <f ca="1">IFERROR(ROWSDUMMYFUNCTION(IF(A2841="","",IFERROR(IMAGE(CONCATENATE("https://us.pandora.net/on/demandware.static/-/Sites-pandora-master-catalog/default/dwbb259ca6/productimages/singlepackshot/",LEFT(A2841,FIND("-",A2841&amp;"-")-1),"_RGB.png")),""))),"{""url"":""https://us.pandora.net/on/demandware.static/-/Sites-pandora-master-catalog/default/dwbb259ca6/productimages/singlepackshot/763462C05_RGB.png"",""mode"":1}")</f>
        <v>{"url":"https://us.pandora.net/on/demandware.static/-/Sites-pandora-master-catalog/default/dwbb259ca6/productimages/singlepackshot/763462C05_RGB.png","mode":1}</v>
      </c>
      <c r="D2841" s="5" t="str">
        <f ca="1">IFERROR(ROWSDUMMYFUNCTION(IF(A2841="","",CONCATENATE("https://us.pandora.net/on/demandware.static/-/Sites-pandora-master-catalog/default/dwbb259ca6/productimages/singlepackshot/",LEFT(A2841,FIND("-",A2841&amp;"-")-1),"_RGB.png"))),"https://us.pandora.net/on/demandware.static/-/Sites-pandora-master-catalog/default/dwbb259ca6/productimages/singlepackshot/763462C05_RGB.png")</f>
        <v>https://us.pandora.net/on/demandware.static/-/Sites-pandora-master-catalog/default/dwbb259ca6/productimages/singlepackshot/763462C05_RGB.png</v>
      </c>
    </row>
    <row r="2842" spans="1:4" x14ac:dyDescent="0.25">
      <c r="A2842" s="3" t="s">
        <v>2844</v>
      </c>
      <c r="B2842" s="4">
        <v>59</v>
      </c>
      <c r="C2842" s="3" t="str">
        <f ca="1">IFERROR(ROWSDUMMYFUNCTION(IF(A2842="","",IFERROR(IMAGE(CONCATENATE("https://us.pandora.net/on/demandware.static/-/Sites-pandora-master-catalog/default/dwbb259ca6/productimages/singlepackshot/",LEFT(A2842,FIND("-",A2842&amp;"-")-1),"_RGB.png")),""))),"{""url"":""https://us.pandora.net/on/demandware.static/-/Sites-pandora-master-catalog/default/dwbb259ca6/productimages/singlepackshot/763462C06_RGB.png"",""mode"":1}")</f>
        <v>{"url":"https://us.pandora.net/on/demandware.static/-/Sites-pandora-master-catalog/default/dwbb259ca6/productimages/singlepackshot/763462C06_RGB.png","mode":1}</v>
      </c>
      <c r="D2842" s="5" t="str">
        <f ca="1">IFERROR(ROWSDUMMYFUNCTION(IF(A2842="","",CONCATENATE("https://us.pandora.net/on/demandware.static/-/Sites-pandora-master-catalog/default/dwbb259ca6/productimages/singlepackshot/",LEFT(A2842,FIND("-",A2842&amp;"-")-1),"_RGB.png"))),"https://us.pandora.net/on/demandware.static/-/Sites-pandora-master-catalog/default/dwbb259ca6/productimages/singlepackshot/763462C06_RGB.png")</f>
        <v>https://us.pandora.net/on/demandware.static/-/Sites-pandora-master-catalog/default/dwbb259ca6/productimages/singlepackshot/763462C06_RGB.png</v>
      </c>
    </row>
    <row r="2843" spans="1:4" x14ac:dyDescent="0.25">
      <c r="A2843" s="3" t="s">
        <v>2845</v>
      </c>
      <c r="B2843" s="4">
        <v>59</v>
      </c>
      <c r="C2843" s="3" t="str">
        <f ca="1">IFERROR(ROWSDUMMYFUNCTION(IF(A2843="","",IFERROR(IMAGE(CONCATENATE("https://us.pandora.net/on/demandware.static/-/Sites-pandora-master-catalog/default/dwbb259ca6/productimages/singlepackshot/",LEFT(A2843,FIND("-",A2843&amp;"-")-1),"_RGB.png")),""))),"{""url"":""https://us.pandora.net/on/demandware.static/-/Sites-pandora-master-catalog/default/dwbb259ca6/productimages/singlepackshot/763462C09_RGB.png"",""mode"":1}")</f>
        <v>{"url":"https://us.pandora.net/on/demandware.static/-/Sites-pandora-master-catalog/default/dwbb259ca6/productimages/singlepackshot/763462C09_RGB.png","mode":1}</v>
      </c>
      <c r="D2843" s="5" t="str">
        <f ca="1">IFERROR(ROWSDUMMYFUNCTION(IF(A2843="","",CONCATENATE("https://us.pandora.net/on/demandware.static/-/Sites-pandora-master-catalog/default/dwbb259ca6/productimages/singlepackshot/",LEFT(A2843,FIND("-",A2843&amp;"-")-1),"_RGB.png"))),"https://us.pandora.net/on/demandware.static/-/Sites-pandora-master-catalog/default/dwbb259ca6/productimages/singlepackshot/763462C09_RGB.png")</f>
        <v>https://us.pandora.net/on/demandware.static/-/Sites-pandora-master-catalog/default/dwbb259ca6/productimages/singlepackshot/763462C09_RGB.png</v>
      </c>
    </row>
    <row r="2844" spans="1:4" x14ac:dyDescent="0.25">
      <c r="A2844" s="3" t="s">
        <v>2846</v>
      </c>
      <c r="B2844" s="4">
        <v>59</v>
      </c>
      <c r="C2844" s="3" t="str">
        <f ca="1">IFERROR(ROWSDUMMYFUNCTION(IF(A2844="","",IFERROR(IMAGE(CONCATENATE("https://us.pandora.net/on/demandware.static/-/Sites-pandora-master-catalog/default/dwbb259ca6/productimages/singlepackshot/",LEFT(A2844,FIND("-",A2844&amp;"-")-1),"_RGB.png")),""))),"{""url"":""https://us.pandora.net/on/demandware.static/-/Sites-pandora-master-catalog/default/dwbb259ca6/productimages/singlepackshot/763462C10_RGB.png"",""mode"":1}")</f>
        <v>{"url":"https://us.pandora.net/on/demandware.static/-/Sites-pandora-master-catalog/default/dwbb259ca6/productimages/singlepackshot/763462C10_RGB.png","mode":1}</v>
      </c>
      <c r="D2844" s="5" t="str">
        <f ca="1">IFERROR(ROWSDUMMYFUNCTION(IF(A2844="","",CONCATENATE("https://us.pandora.net/on/demandware.static/-/Sites-pandora-master-catalog/default/dwbb259ca6/productimages/singlepackshot/",LEFT(A2844,FIND("-",A2844&amp;"-")-1),"_RGB.png"))),"https://us.pandora.net/on/demandware.static/-/Sites-pandora-master-catalog/default/dwbb259ca6/productimages/singlepackshot/763462C10_RGB.png")</f>
        <v>https://us.pandora.net/on/demandware.static/-/Sites-pandora-master-catalog/default/dwbb259ca6/productimages/singlepackshot/763462C10_RGB.png</v>
      </c>
    </row>
    <row r="2845" spans="1:4" x14ac:dyDescent="0.25">
      <c r="A2845" s="3" t="s">
        <v>2847</v>
      </c>
      <c r="B2845" s="4">
        <v>89</v>
      </c>
      <c r="C2845" s="3" t="str">
        <f ca="1">IFERROR(ROWSDUMMYFUNCTION(IF(A2845="","",IFERROR(IMAGE(CONCATENATE("https://us.pandora.net/on/demandware.static/-/Sites-pandora-master-catalog/default/dwbb259ca6/productimages/singlepackshot/",LEFT(A2845,FIND("-",A2845&amp;"-")-1),"_RGB.png")),""))),"{""url"":""https://us.pandora.net/on/demandware.static/-/Sites-pandora-master-catalog/default/dwbb259ca6/productimages/singlepackshot/763512C01_RGB.png"",""mode"":1}")</f>
        <v>{"url":"https://us.pandora.net/on/demandware.static/-/Sites-pandora-master-catalog/default/dwbb259ca6/productimages/singlepackshot/763512C01_RGB.png","mode":1}</v>
      </c>
      <c r="D2845" s="5" t="str">
        <f ca="1">IFERROR(ROWSDUMMYFUNCTION(IF(A2845="","",CONCATENATE("https://us.pandora.net/on/demandware.static/-/Sites-pandora-master-catalog/default/dwbb259ca6/productimages/singlepackshot/",LEFT(A2845,FIND("-",A2845&amp;"-")-1),"_RGB.png"))),"https://us.pandora.net/on/demandware.static/-/Sites-pandora-master-catalog/default/dwbb259ca6/productimages/singlepackshot/763512C01_RGB.png")</f>
        <v>https://us.pandora.net/on/demandware.static/-/Sites-pandora-master-catalog/default/dwbb259ca6/productimages/singlepackshot/763512C01_RGB.png</v>
      </c>
    </row>
    <row r="2846" spans="1:4" x14ac:dyDescent="0.25">
      <c r="A2846" s="3" t="s">
        <v>2848</v>
      </c>
      <c r="B2846" s="4">
        <v>29</v>
      </c>
      <c r="C2846" s="3" t="str">
        <f ca="1">IFERROR(ROWSDUMMYFUNCTION(IF(A2846="","",IFERROR(IMAGE(CONCATENATE("https://us.pandora.net/on/demandware.static/-/Sites-pandora-master-catalog/default/dwbb259ca6/productimages/singlepackshot/",LEFT(A2846,FIND("-",A2846&amp;"-")-1),"_RGB.png")),""))),"{""url"":""https://us.pandora.net/on/demandware.static/-/Sites-pandora-master-catalog/default/dwbb259ca6/productimages/singlepackshot/763513C00_RGB.png"",""mode"":1}")</f>
        <v>{"url":"https://us.pandora.net/on/demandware.static/-/Sites-pandora-master-catalog/default/dwbb259ca6/productimages/singlepackshot/763513C00_RGB.png","mode":1}</v>
      </c>
      <c r="D2846" s="5" t="str">
        <f ca="1">IFERROR(ROWSDUMMYFUNCTION(IF(A2846="","",CONCATENATE("https://us.pandora.net/on/demandware.static/-/Sites-pandora-master-catalog/default/dwbb259ca6/productimages/singlepackshot/",LEFT(A2846,FIND("-",A2846&amp;"-")-1),"_RGB.png"))),"https://us.pandora.net/on/demandware.static/-/Sites-pandora-master-catalog/default/dwbb259ca6/productimages/singlepackshot/763513C00_RGB.png")</f>
        <v>https://us.pandora.net/on/demandware.static/-/Sites-pandora-master-catalog/default/dwbb259ca6/productimages/singlepackshot/763513C00_RGB.png</v>
      </c>
    </row>
    <row r="2847" spans="1:4" x14ac:dyDescent="0.25">
      <c r="A2847" s="3" t="s">
        <v>2849</v>
      </c>
      <c r="B2847" s="4">
        <v>79</v>
      </c>
      <c r="C2847" s="3" t="str">
        <f ca="1">IFERROR(ROWSDUMMYFUNCTION(IF(A2847="","",IFERROR(IMAGE(CONCATENATE("https://us.pandora.net/on/demandware.static/-/Sites-pandora-master-catalog/default/dwbb259ca6/productimages/singlepackshot/",LEFT(A2847,FIND("-",A2847&amp;"-")-1),"_RGB.png")),""))),"{""url"":""https://us.pandora.net/on/demandware.static/-/Sites-pandora-master-catalog/default/dwbb259ca6/productimages/singlepackshot/763515C01_RGB.png"",""mode"":1}")</f>
        <v>{"url":"https://us.pandora.net/on/demandware.static/-/Sites-pandora-master-catalog/default/dwbb259ca6/productimages/singlepackshot/763515C01_RGB.png","mode":1}</v>
      </c>
      <c r="D2847" s="5" t="str">
        <f ca="1">IFERROR(ROWSDUMMYFUNCTION(IF(A2847="","",CONCATENATE("https://us.pandora.net/on/demandware.static/-/Sites-pandora-master-catalog/default/dwbb259ca6/productimages/singlepackshot/",LEFT(A2847,FIND("-",A2847&amp;"-")-1),"_RGB.png"))),"https://us.pandora.net/on/demandware.static/-/Sites-pandora-master-catalog/default/dwbb259ca6/productimages/singlepackshot/763515C01_RGB.png")</f>
        <v>https://us.pandora.net/on/demandware.static/-/Sites-pandora-master-catalog/default/dwbb259ca6/productimages/singlepackshot/763515C01_RGB.png</v>
      </c>
    </row>
    <row r="2848" spans="1:4" x14ac:dyDescent="0.25">
      <c r="A2848" s="3" t="s">
        <v>2850</v>
      </c>
      <c r="B2848" s="4">
        <v>69</v>
      </c>
      <c r="C2848" s="3" t="str">
        <f ca="1">IFERROR(ROWSDUMMYFUNCTION(IF(A2848="","",IFERROR(IMAGE(CONCATENATE("https://us.pandora.net/on/demandware.static/-/Sites-pandora-master-catalog/default/dwbb259ca6/productimages/singlepackshot/",LEFT(A2848,FIND("-",A2848&amp;"-")-1),"_RGB.png")),""))),"{""url"":""https://us.pandora.net/on/demandware.static/-/Sites-pandora-master-catalog/default/dwbb259ca6/productimages/singlepackshot/763583C01_RGB.png"",""mode"":1}")</f>
        <v>{"url":"https://us.pandora.net/on/demandware.static/-/Sites-pandora-master-catalog/default/dwbb259ca6/productimages/singlepackshot/763583C01_RGB.png","mode":1}</v>
      </c>
      <c r="D2848" s="5" t="str">
        <f ca="1">IFERROR(ROWSDUMMYFUNCTION(IF(A2848="","",CONCATENATE("https://us.pandora.net/on/demandware.static/-/Sites-pandora-master-catalog/default/dwbb259ca6/productimages/singlepackshot/",LEFT(A2848,FIND("-",A2848&amp;"-")-1),"_RGB.png"))),"https://us.pandora.net/on/demandware.static/-/Sites-pandora-master-catalog/default/dwbb259ca6/productimages/singlepackshot/763583C01_RGB.png")</f>
        <v>https://us.pandora.net/on/demandware.static/-/Sites-pandora-master-catalog/default/dwbb259ca6/productimages/singlepackshot/763583C01_RGB.png</v>
      </c>
    </row>
    <row r="2849" spans="1:4" x14ac:dyDescent="0.25">
      <c r="A2849" s="3" t="s">
        <v>2851</v>
      </c>
      <c r="B2849" s="4">
        <v>65</v>
      </c>
      <c r="C2849" s="3" t="str">
        <f ca="1">IFERROR(ROWSDUMMYFUNCTION(IF(A2849="","",IFERROR(IMAGE(CONCATENATE("https://us.pandora.net/on/demandware.static/-/Sites-pandora-master-catalog/default/dwbb259ca6/productimages/singlepackshot/",LEFT(A2849,FIND("-",A2849&amp;"-")-1),"_RGB.png")),""))),"{""url"":""https://us.pandora.net/on/demandware.static/-/Sites-pandora-master-catalog/default/dwbb259ca6/productimages/singlepackshot/763585C01_RGB.png"",""mode"":1}")</f>
        <v>{"url":"https://us.pandora.net/on/demandware.static/-/Sites-pandora-master-catalog/default/dwbb259ca6/productimages/singlepackshot/763585C01_RGB.png","mode":1}</v>
      </c>
      <c r="D2849" s="5" t="str">
        <f ca="1">IFERROR(ROWSDUMMYFUNCTION(IF(A2849="","",CONCATENATE("https://us.pandora.net/on/demandware.static/-/Sites-pandora-master-catalog/default/dwbb259ca6/productimages/singlepackshot/",LEFT(A2849,FIND("-",A2849&amp;"-")-1),"_RGB.png"))),"https://us.pandora.net/on/demandware.static/-/Sites-pandora-master-catalog/default/dwbb259ca6/productimages/singlepackshot/763585C01_RGB.png")</f>
        <v>https://us.pandora.net/on/demandware.static/-/Sites-pandora-master-catalog/default/dwbb259ca6/productimages/singlepackshot/763585C01_RGB.png</v>
      </c>
    </row>
    <row r="2850" spans="1:4" x14ac:dyDescent="0.25">
      <c r="A2850" s="3" t="s">
        <v>2852</v>
      </c>
      <c r="B2850" s="4">
        <v>65</v>
      </c>
      <c r="C2850" s="3" t="str">
        <f ca="1">IFERROR(ROWSDUMMYFUNCTION(IF(A2850="","",IFERROR(IMAGE(CONCATENATE("https://us.pandora.net/on/demandware.static/-/Sites-pandora-master-catalog/default/dwbb259ca6/productimages/singlepackshot/",LEFT(A2850,FIND("-",A2850&amp;"-")-1),"_RGB.png")),""))),"{""url"":""https://us.pandora.net/on/demandware.static/-/Sites-pandora-master-catalog/default/dwbb259ca6/productimages/singlepackshot/763588C01_RGB.png"",""mode"":1}")</f>
        <v>{"url":"https://us.pandora.net/on/demandware.static/-/Sites-pandora-master-catalog/default/dwbb259ca6/productimages/singlepackshot/763588C01_RGB.png","mode":1}</v>
      </c>
      <c r="D2850" s="5" t="str">
        <f ca="1">IFERROR(ROWSDUMMYFUNCTION(IF(A2850="","",CONCATENATE("https://us.pandora.net/on/demandware.static/-/Sites-pandora-master-catalog/default/dwbb259ca6/productimages/singlepackshot/",LEFT(A2850,FIND("-",A2850&amp;"-")-1),"_RGB.png"))),"https://us.pandora.net/on/demandware.static/-/Sites-pandora-master-catalog/default/dwbb259ca6/productimages/singlepackshot/763588C01_RGB.png")</f>
        <v>https://us.pandora.net/on/demandware.static/-/Sites-pandora-master-catalog/default/dwbb259ca6/productimages/singlepackshot/763588C01_RGB.png</v>
      </c>
    </row>
    <row r="2851" spans="1:4" x14ac:dyDescent="0.25">
      <c r="A2851" s="3" t="s">
        <v>2853</v>
      </c>
      <c r="B2851" s="4">
        <v>75</v>
      </c>
      <c r="C2851" s="3" t="str">
        <f ca="1">IFERROR(ROWSDUMMYFUNCTION(IF(A2851="","",IFERROR(IMAGE(CONCATENATE("https://us.pandora.net/on/demandware.static/-/Sites-pandora-master-catalog/default/dwbb259ca6/productimages/singlepackshot/",LEFT(A2851,FIND("-",A2851&amp;"-")-1),"_RGB.png")),""))),"{""url"":""https://us.pandora.net/on/demandware.static/-/Sites-pandora-master-catalog/default/dwbb259ca6/productimages/singlepackshot/763590C01_RGB.png"",""mode"":1}")</f>
        <v>{"url":"https://us.pandora.net/on/demandware.static/-/Sites-pandora-master-catalog/default/dwbb259ca6/productimages/singlepackshot/763590C01_RGB.png","mode":1}</v>
      </c>
      <c r="D2851" s="5" t="str">
        <f ca="1">IFERROR(ROWSDUMMYFUNCTION(IF(A2851="","",CONCATENATE("https://us.pandora.net/on/demandware.static/-/Sites-pandora-master-catalog/default/dwbb259ca6/productimages/singlepackshot/",LEFT(A2851,FIND("-",A2851&amp;"-")-1),"_RGB.png"))),"https://us.pandora.net/on/demandware.static/-/Sites-pandora-master-catalog/default/dwbb259ca6/productimages/singlepackshot/763590C01_RGB.png")</f>
        <v>https://us.pandora.net/on/demandware.static/-/Sites-pandora-master-catalog/default/dwbb259ca6/productimages/singlepackshot/763590C01_RGB.png</v>
      </c>
    </row>
    <row r="2852" spans="1:4" x14ac:dyDescent="0.25">
      <c r="A2852" s="3" t="s">
        <v>2854</v>
      </c>
      <c r="B2852" s="4">
        <v>59</v>
      </c>
      <c r="C2852" s="3" t="str">
        <f ca="1">IFERROR(ROWSDUMMYFUNCTION(IF(A2852="","",IFERROR(IMAGE(CONCATENATE("https://us.pandora.net/on/demandware.static/-/Sites-pandora-master-catalog/default/dwbb259ca6/productimages/singlepackshot/",LEFT(A2852,FIND("-",A2852&amp;"-")-1),"_RGB.png")),""))),"{""url"":""https://us.pandora.net/on/demandware.static/-/Sites-pandora-master-catalog/default/dwbb259ca6/productimages/singlepackshot/763601C00_RGB.png"",""mode"":1}")</f>
        <v>{"url":"https://us.pandora.net/on/demandware.static/-/Sites-pandora-master-catalog/default/dwbb259ca6/productimages/singlepackshot/763601C00_RGB.png","mode":1}</v>
      </c>
      <c r="D2852" s="5" t="str">
        <f ca="1">IFERROR(ROWSDUMMYFUNCTION(IF(A2852="","",CONCATENATE("https://us.pandora.net/on/demandware.static/-/Sites-pandora-master-catalog/default/dwbb259ca6/productimages/singlepackshot/",LEFT(A2852,FIND("-",A2852&amp;"-")-1),"_RGB.png"))),"https://us.pandora.net/on/demandware.static/-/Sites-pandora-master-catalog/default/dwbb259ca6/productimages/singlepackshot/763601C00_RGB.png")</f>
        <v>https://us.pandora.net/on/demandware.static/-/Sites-pandora-master-catalog/default/dwbb259ca6/productimages/singlepackshot/763601C00_RGB.png</v>
      </c>
    </row>
    <row r="2853" spans="1:4" x14ac:dyDescent="0.25">
      <c r="A2853" s="3" t="s">
        <v>2855</v>
      </c>
      <c r="B2853" s="4">
        <v>59</v>
      </c>
      <c r="C2853" s="3" t="str">
        <f ca="1">IFERROR(ROWSDUMMYFUNCTION(IF(A2853="","",IFERROR(IMAGE(CONCATENATE("https://us.pandora.net/on/demandware.static/-/Sites-pandora-master-catalog/default/dwbb259ca6/productimages/singlepackshot/",LEFT(A2853,FIND("-",A2853&amp;"-")-1),"_RGB.png")),""))),"{""url"":""https://us.pandora.net/on/demandware.static/-/Sites-pandora-master-catalog/default/dwbb259ca6/productimages/singlepackshot/763602C00_RGB.png"",""mode"":1}")</f>
        <v>{"url":"https://us.pandora.net/on/demandware.static/-/Sites-pandora-master-catalog/default/dwbb259ca6/productimages/singlepackshot/763602C00_RGB.png","mode":1}</v>
      </c>
      <c r="D2853" s="5" t="str">
        <f ca="1">IFERROR(ROWSDUMMYFUNCTION(IF(A2853="","",CONCATENATE("https://us.pandora.net/on/demandware.static/-/Sites-pandora-master-catalog/default/dwbb259ca6/productimages/singlepackshot/",LEFT(A2853,FIND("-",A2853&amp;"-")-1),"_RGB.png"))),"https://us.pandora.net/on/demandware.static/-/Sites-pandora-master-catalog/default/dwbb259ca6/productimages/singlepackshot/763602C00_RGB.png")</f>
        <v>https://us.pandora.net/on/demandware.static/-/Sites-pandora-master-catalog/default/dwbb259ca6/productimages/singlepackshot/763602C00_RGB.png</v>
      </c>
    </row>
    <row r="2854" spans="1:4" x14ac:dyDescent="0.25">
      <c r="A2854" s="3" t="s">
        <v>2856</v>
      </c>
      <c r="B2854" s="4">
        <v>59</v>
      </c>
      <c r="C2854" s="3" t="str">
        <f ca="1">IFERROR(ROWSDUMMYFUNCTION(IF(A2854="","",IFERROR(IMAGE(CONCATENATE("https://us.pandora.net/on/demandware.static/-/Sites-pandora-master-catalog/default/dwbb259ca6/productimages/singlepackshot/",LEFT(A2854,FIND("-",A2854&amp;"-")-1),"_RGB.png")),""))),"{""url"":""https://us.pandora.net/on/demandware.static/-/Sites-pandora-master-catalog/default/dwbb259ca6/productimages/singlepackshot/763604C01_RGB.png"",""mode"":1}")</f>
        <v>{"url":"https://us.pandora.net/on/demandware.static/-/Sites-pandora-master-catalog/default/dwbb259ca6/productimages/singlepackshot/763604C01_RGB.png","mode":1}</v>
      </c>
      <c r="D2854" s="5" t="str">
        <f ca="1">IFERROR(ROWSDUMMYFUNCTION(IF(A2854="","",CONCATENATE("https://us.pandora.net/on/demandware.static/-/Sites-pandora-master-catalog/default/dwbb259ca6/productimages/singlepackshot/",LEFT(A2854,FIND("-",A2854&amp;"-")-1),"_RGB.png"))),"https://us.pandora.net/on/demandware.static/-/Sites-pandora-master-catalog/default/dwbb259ca6/productimages/singlepackshot/763604C01_RGB.png")</f>
        <v>https://us.pandora.net/on/demandware.static/-/Sites-pandora-master-catalog/default/dwbb259ca6/productimages/singlepackshot/763604C01_RGB.png</v>
      </c>
    </row>
    <row r="2855" spans="1:4" x14ac:dyDescent="0.25">
      <c r="A2855" s="3" t="s">
        <v>2857</v>
      </c>
      <c r="B2855" s="4">
        <v>99</v>
      </c>
      <c r="C2855" s="3" t="str">
        <f ca="1">IFERROR(ROWSDUMMYFUNCTION(IF(A2855="","",IFERROR(IMAGE(CONCATENATE("https://us.pandora.net/on/demandware.static/-/Sites-pandora-master-catalog/default/dwbb259ca6/productimages/singlepackshot/",LEFT(A2855,FIND("-",A2855&amp;"-")-1),"_RGB.png")),""))),"{""url"":""https://us.pandora.net/on/demandware.static/-/Sites-pandora-master-catalog/default/dwbb259ca6/productimages/singlepackshot/763608C01_RGB.png"",""mode"":1}")</f>
        <v>{"url":"https://us.pandora.net/on/demandware.static/-/Sites-pandora-master-catalog/default/dwbb259ca6/productimages/singlepackshot/763608C01_RGB.png","mode":1}</v>
      </c>
      <c r="D2855" s="5" t="str">
        <f ca="1">IFERROR(ROWSDUMMYFUNCTION(IF(A2855="","",CONCATENATE("https://us.pandora.net/on/demandware.static/-/Sites-pandora-master-catalog/default/dwbb259ca6/productimages/singlepackshot/",LEFT(A2855,FIND("-",A2855&amp;"-")-1),"_RGB.png"))),"https://us.pandora.net/on/demandware.static/-/Sites-pandora-master-catalog/default/dwbb259ca6/productimages/singlepackshot/763608C01_RGB.png")</f>
        <v>https://us.pandora.net/on/demandware.static/-/Sites-pandora-master-catalog/default/dwbb259ca6/productimages/singlepackshot/763608C01_RGB.png</v>
      </c>
    </row>
    <row r="2856" spans="1:4" x14ac:dyDescent="0.25">
      <c r="A2856" s="3" t="s">
        <v>2858</v>
      </c>
      <c r="B2856" s="4">
        <v>69</v>
      </c>
      <c r="C2856" s="3" t="str">
        <f ca="1">IFERROR(ROWSDUMMYFUNCTION(IF(A2856="","",IFERROR(IMAGE(CONCATENATE("https://us.pandora.net/on/demandware.static/-/Sites-pandora-master-catalog/default/dwbb259ca6/productimages/singlepackshot/",LEFT(A2856,FIND("-",A2856&amp;"-")-1),"_RGB.png")),""))),"{""url"":""https://us.pandora.net/on/demandware.static/-/Sites-pandora-master-catalog/default/dwbb259ca6/productimages/singlepackshot/763617C01_RGB.png"",""mode"":1}")</f>
        <v>{"url":"https://us.pandora.net/on/demandware.static/-/Sites-pandora-master-catalog/default/dwbb259ca6/productimages/singlepackshot/763617C01_RGB.png","mode":1}</v>
      </c>
      <c r="D2856" s="5" t="str">
        <f ca="1">IFERROR(ROWSDUMMYFUNCTION(IF(A2856="","",CONCATENATE("https://us.pandora.net/on/demandware.static/-/Sites-pandora-master-catalog/default/dwbb259ca6/productimages/singlepackshot/",LEFT(A2856,FIND("-",A2856&amp;"-")-1),"_RGB.png"))),"https://us.pandora.net/on/demandware.static/-/Sites-pandora-master-catalog/default/dwbb259ca6/productimages/singlepackshot/763617C01_RGB.png")</f>
        <v>https://us.pandora.net/on/demandware.static/-/Sites-pandora-master-catalog/default/dwbb259ca6/productimages/singlepackshot/763617C01_RGB.png</v>
      </c>
    </row>
    <row r="2857" spans="1:4" x14ac:dyDescent="0.25">
      <c r="A2857" s="3" t="s">
        <v>2859</v>
      </c>
      <c r="B2857" s="4">
        <v>69</v>
      </c>
      <c r="C2857" s="3" t="str">
        <f ca="1">IFERROR(ROWSDUMMYFUNCTION(IF(A2857="","",IFERROR(IMAGE(CONCATENATE("https://us.pandora.net/on/demandware.static/-/Sites-pandora-master-catalog/default/dwbb259ca6/productimages/singlepackshot/",LEFT(A2857,FIND("-",A2857&amp;"-")-1),"_RGB.png")),""))),"{""url"":""https://us.pandora.net/on/demandware.static/-/Sites-pandora-master-catalog/default/dwbb259ca6/productimages/singlepackshot/763618C01_RGB.png"",""mode"":1}")</f>
        <v>{"url":"https://us.pandora.net/on/demandware.static/-/Sites-pandora-master-catalog/default/dwbb259ca6/productimages/singlepackshot/763618C01_RGB.png","mode":1}</v>
      </c>
      <c r="D2857" s="5" t="str">
        <f ca="1">IFERROR(ROWSDUMMYFUNCTION(IF(A2857="","",CONCATENATE("https://us.pandora.net/on/demandware.static/-/Sites-pandora-master-catalog/default/dwbb259ca6/productimages/singlepackshot/",LEFT(A2857,FIND("-",A2857&amp;"-")-1),"_RGB.png"))),"https://us.pandora.net/on/demandware.static/-/Sites-pandora-master-catalog/default/dwbb259ca6/productimages/singlepackshot/763618C01_RGB.png")</f>
        <v>https://us.pandora.net/on/demandware.static/-/Sites-pandora-master-catalog/default/dwbb259ca6/productimages/singlepackshot/763618C01_RGB.png</v>
      </c>
    </row>
    <row r="2858" spans="1:4" x14ac:dyDescent="0.25">
      <c r="A2858" s="3" t="s">
        <v>2860</v>
      </c>
      <c r="B2858" s="4">
        <v>65</v>
      </c>
      <c r="C2858" s="3" t="str">
        <f ca="1">IFERROR(ROWSDUMMYFUNCTION(IF(A2858="","",IFERROR(IMAGE(CONCATENATE("https://us.pandora.net/on/demandware.static/-/Sites-pandora-master-catalog/default/dwbb259ca6/productimages/singlepackshot/",LEFT(A2858,FIND("-",A2858&amp;"-")-1),"_RGB.png")),""))),"{""url"":""https://us.pandora.net/on/demandware.static/-/Sites-pandora-master-catalog/default/dwbb259ca6/productimages/singlepackshot/763622C01_RGB.png"",""mode"":1}")</f>
        <v>{"url":"https://us.pandora.net/on/demandware.static/-/Sites-pandora-master-catalog/default/dwbb259ca6/productimages/singlepackshot/763622C01_RGB.png","mode":1}</v>
      </c>
      <c r="D2858" s="5" t="str">
        <f ca="1">IFERROR(ROWSDUMMYFUNCTION(IF(A2858="","",CONCATENATE("https://us.pandora.net/on/demandware.static/-/Sites-pandora-master-catalog/default/dwbb259ca6/productimages/singlepackshot/",LEFT(A2858,FIND("-",A2858&amp;"-")-1),"_RGB.png"))),"https://us.pandora.net/on/demandware.static/-/Sites-pandora-master-catalog/default/dwbb259ca6/productimages/singlepackshot/763622C01_RGB.png")</f>
        <v>https://us.pandora.net/on/demandware.static/-/Sites-pandora-master-catalog/default/dwbb259ca6/productimages/singlepackshot/763622C01_RGB.png</v>
      </c>
    </row>
    <row r="2859" spans="1:4" x14ac:dyDescent="0.25">
      <c r="A2859" s="3" t="s">
        <v>2861</v>
      </c>
      <c r="B2859" s="4">
        <v>75</v>
      </c>
      <c r="C2859" s="3" t="str">
        <f ca="1">IFERROR(ROWSDUMMYFUNCTION(IF(A2859="","",IFERROR(IMAGE(CONCATENATE("https://us.pandora.net/on/demandware.static/-/Sites-pandora-master-catalog/default/dwbb259ca6/productimages/singlepackshot/",LEFT(A2859,FIND("-",A2859&amp;"-")-1),"_RGB.png")),""))),"{""url"":""https://us.pandora.net/on/demandware.static/-/Sites-pandora-master-catalog/default/dwbb259ca6/productimages/singlepackshot/763624C01_RGB.png"",""mode"":1}")</f>
        <v>{"url":"https://us.pandora.net/on/demandware.static/-/Sites-pandora-master-catalog/default/dwbb259ca6/productimages/singlepackshot/763624C01_RGB.png","mode":1}</v>
      </c>
      <c r="D2859" s="5" t="str">
        <f ca="1">IFERROR(ROWSDUMMYFUNCTION(IF(A2859="","",CONCATENATE("https://us.pandora.net/on/demandware.static/-/Sites-pandora-master-catalog/default/dwbb259ca6/productimages/singlepackshot/",LEFT(A2859,FIND("-",A2859&amp;"-")-1),"_RGB.png"))),"https://us.pandora.net/on/demandware.static/-/Sites-pandora-master-catalog/default/dwbb259ca6/productimages/singlepackshot/763624C01_RGB.png")</f>
        <v>https://us.pandora.net/on/demandware.static/-/Sites-pandora-master-catalog/default/dwbb259ca6/productimages/singlepackshot/763624C01_RGB.png</v>
      </c>
    </row>
    <row r="2860" spans="1:4" x14ac:dyDescent="0.25">
      <c r="A2860" s="3" t="s">
        <v>2862</v>
      </c>
      <c r="B2860" s="4">
        <v>79</v>
      </c>
      <c r="C2860" s="3" t="str">
        <f ca="1">IFERROR(ROWSDUMMYFUNCTION(IF(A2860="","",IFERROR(IMAGE(CONCATENATE("https://us.pandora.net/on/demandware.static/-/Sites-pandora-master-catalog/default/dwbb259ca6/productimages/singlepackshot/",LEFT(A2860,FIND("-",A2860&amp;"-")-1),"_RGB.png")),""))),"{""url"":""https://us.pandora.net/on/demandware.static/-/Sites-pandora-master-catalog/default/dwbb259ca6/productimages/singlepackshot/763650C01_RGB.png"",""mode"":1}")</f>
        <v>{"url":"https://us.pandora.net/on/demandware.static/-/Sites-pandora-master-catalog/default/dwbb259ca6/productimages/singlepackshot/763650C01_RGB.png","mode":1}</v>
      </c>
      <c r="D2860" s="5" t="str">
        <f ca="1">IFERROR(ROWSDUMMYFUNCTION(IF(A2860="","",CONCATENATE("https://us.pandora.net/on/demandware.static/-/Sites-pandora-master-catalog/default/dwbb259ca6/productimages/singlepackshot/",LEFT(A2860,FIND("-",A2860&amp;"-")-1),"_RGB.png"))),"https://us.pandora.net/on/demandware.static/-/Sites-pandora-master-catalog/default/dwbb259ca6/productimages/singlepackshot/763650C01_RGB.png")</f>
        <v>https://us.pandora.net/on/demandware.static/-/Sites-pandora-master-catalog/default/dwbb259ca6/productimages/singlepackshot/763650C01_RGB.png</v>
      </c>
    </row>
    <row r="2861" spans="1:4" x14ac:dyDescent="0.25">
      <c r="A2861" s="3" t="s">
        <v>2863</v>
      </c>
      <c r="B2861" s="4">
        <v>55</v>
      </c>
      <c r="C2861" s="3" t="str">
        <f ca="1">IFERROR(ROWSDUMMYFUNCTION(IF(A2861="","",IFERROR(IMAGE(CONCATENATE("https://us.pandora.net/on/demandware.static/-/Sites-pandora-master-catalog/default/dwbb259ca6/productimages/singlepackshot/",LEFT(A2861,FIND("-",A2861&amp;"-")-1),"_RGB.png")),""))),"{""url"":""https://us.pandora.net/on/demandware.static/-/Sites-pandora-master-catalog/default/dwbb259ca6/productimages/singlepackshot/763663C00_RGB.png"",""mode"":1}")</f>
        <v>{"url":"https://us.pandora.net/on/demandware.static/-/Sites-pandora-master-catalog/default/dwbb259ca6/productimages/singlepackshot/763663C00_RGB.png","mode":1}</v>
      </c>
      <c r="D2861" s="5" t="str">
        <f ca="1">IFERROR(ROWSDUMMYFUNCTION(IF(A2861="","",CONCATENATE("https://us.pandora.net/on/demandware.static/-/Sites-pandora-master-catalog/default/dwbb259ca6/productimages/singlepackshot/",LEFT(A2861,FIND("-",A2861&amp;"-")-1),"_RGB.png"))),"https://us.pandora.net/on/demandware.static/-/Sites-pandora-master-catalog/default/dwbb259ca6/productimages/singlepackshot/763663C00_RGB.png")</f>
        <v>https://us.pandora.net/on/demandware.static/-/Sites-pandora-master-catalog/default/dwbb259ca6/productimages/singlepackshot/763663C00_RGB.png</v>
      </c>
    </row>
    <row r="2862" spans="1:4" x14ac:dyDescent="0.25">
      <c r="A2862" s="3" t="s">
        <v>2864</v>
      </c>
      <c r="B2862" s="4">
        <v>39</v>
      </c>
      <c r="C2862" s="3" t="str">
        <f ca="1">IFERROR(ROWSDUMMYFUNCTION(IF(A2862="","",IFERROR(IMAGE(CONCATENATE("https://us.pandora.net/on/demandware.static/-/Sites-pandora-master-catalog/default/dwbb259ca6/productimages/singlepackshot/",LEFT(A2862,FIND("-",A2862&amp;"-")-1),"_RGB.png")),""))),"{""url"":""https://us.pandora.net/on/demandware.static/-/Sites-pandora-master-catalog/default/dwbb259ca6/productimages/singlepackshot/763666C00_RGB.png"",""mode"":1}")</f>
        <v>{"url":"https://us.pandora.net/on/demandware.static/-/Sites-pandora-master-catalog/default/dwbb259ca6/productimages/singlepackshot/763666C00_RGB.png","mode":1}</v>
      </c>
      <c r="D2862" s="5" t="str">
        <f ca="1">IFERROR(ROWSDUMMYFUNCTION(IF(A2862="","",CONCATENATE("https://us.pandora.net/on/demandware.static/-/Sites-pandora-master-catalog/default/dwbb259ca6/productimages/singlepackshot/",LEFT(A2862,FIND("-",A2862&amp;"-")-1),"_RGB.png"))),"https://us.pandora.net/on/demandware.static/-/Sites-pandora-master-catalog/default/dwbb259ca6/productimages/singlepackshot/763666C00_RGB.png")</f>
        <v>https://us.pandora.net/on/demandware.static/-/Sites-pandora-master-catalog/default/dwbb259ca6/productimages/singlepackshot/763666C00_RGB.png</v>
      </c>
    </row>
    <row r="2863" spans="1:4" x14ac:dyDescent="0.25">
      <c r="A2863" s="3" t="s">
        <v>2865</v>
      </c>
      <c r="B2863" s="4">
        <v>49</v>
      </c>
      <c r="C2863" s="3" t="str">
        <f ca="1">IFERROR(ROWSDUMMYFUNCTION(IF(A2863="","",IFERROR(IMAGE(CONCATENATE("https://us.pandora.net/on/demandware.static/-/Sites-pandora-master-catalog/default/dwbb259ca6/productimages/singlepackshot/",LEFT(A2863,FIND("-",A2863&amp;"-")-1),"_RGB.png")),""))),"{""url"":""https://us.pandora.net/on/demandware.static/-/Sites-pandora-master-catalog/default/dwbb259ca6/productimages/singlepackshot/763678C00_RGB.png"",""mode"":1}")</f>
        <v>{"url":"https://us.pandora.net/on/demandware.static/-/Sites-pandora-master-catalog/default/dwbb259ca6/productimages/singlepackshot/763678C00_RGB.png","mode":1}</v>
      </c>
      <c r="D2863" s="5" t="str">
        <f ca="1">IFERROR(ROWSDUMMYFUNCTION(IF(A2863="","",CONCATENATE("https://us.pandora.net/on/demandware.static/-/Sites-pandora-master-catalog/default/dwbb259ca6/productimages/singlepackshot/",LEFT(A2863,FIND("-",A2863&amp;"-")-1),"_RGB.png"))),"https://us.pandora.net/on/demandware.static/-/Sites-pandora-master-catalog/default/dwbb259ca6/productimages/singlepackshot/763678C00_RGB.png")</f>
        <v>https://us.pandora.net/on/demandware.static/-/Sites-pandora-master-catalog/default/dwbb259ca6/productimages/singlepackshot/763678C00_RGB.png</v>
      </c>
    </row>
    <row r="2864" spans="1:4" x14ac:dyDescent="0.25">
      <c r="A2864" s="3" t="s">
        <v>2866</v>
      </c>
      <c r="B2864" s="4">
        <v>39</v>
      </c>
      <c r="C2864" s="3" t="str">
        <f ca="1">IFERROR(ROWSDUMMYFUNCTION(IF(A2864="","",IFERROR(IMAGE(CONCATENATE("https://us.pandora.net/on/demandware.static/-/Sites-pandora-master-catalog/default/dwbb259ca6/productimages/singlepackshot/",LEFT(A2864,FIND("-",A2864&amp;"-")-1),"_RGB.png")),""))),"{""url"":""https://us.pandora.net/on/demandware.static/-/Sites-pandora-master-catalog/default/dwbb259ca6/productimages/singlepackshot/763691C00_RGB.png"",""mode"":1}")</f>
        <v>{"url":"https://us.pandora.net/on/demandware.static/-/Sites-pandora-master-catalog/default/dwbb259ca6/productimages/singlepackshot/763691C00_RGB.png","mode":1}</v>
      </c>
      <c r="D2864" s="5" t="str">
        <f ca="1">IFERROR(ROWSDUMMYFUNCTION(IF(A2864="","",CONCATENATE("https://us.pandora.net/on/demandware.static/-/Sites-pandora-master-catalog/default/dwbb259ca6/productimages/singlepackshot/",LEFT(A2864,FIND("-",A2864&amp;"-")-1),"_RGB.png"))),"https://us.pandora.net/on/demandware.static/-/Sites-pandora-master-catalog/default/dwbb259ca6/productimages/singlepackshot/763691C00_RGB.png")</f>
        <v>https://us.pandora.net/on/demandware.static/-/Sites-pandora-master-catalog/default/dwbb259ca6/productimages/singlepackshot/763691C00_RGB.png</v>
      </c>
    </row>
    <row r="2865" spans="1:4" x14ac:dyDescent="0.25">
      <c r="A2865" s="3" t="s">
        <v>2867</v>
      </c>
      <c r="B2865" s="4">
        <v>59</v>
      </c>
      <c r="C2865" s="3" t="str">
        <f ca="1">IFERROR(ROWSDUMMYFUNCTION(IF(A2865="","",IFERROR(IMAGE(CONCATENATE("https://us.pandora.net/on/demandware.static/-/Sites-pandora-master-catalog/default/dwbb259ca6/productimages/singlepackshot/",LEFT(A2865,FIND("-",A2865&amp;"-")-1),"_RGB.png")),""))),"{""url"":""https://us.pandora.net/on/demandware.static/-/Sites-pandora-master-catalog/default/dwbb259ca6/productimages/singlepackshot/763709C01_RGB.png"",""mode"":1}")</f>
        <v>{"url":"https://us.pandora.net/on/demandware.static/-/Sites-pandora-master-catalog/default/dwbb259ca6/productimages/singlepackshot/763709C01_RGB.png","mode":1}</v>
      </c>
      <c r="D2865" s="5" t="str">
        <f ca="1">IFERROR(ROWSDUMMYFUNCTION(IF(A2865="","",CONCATENATE("https://us.pandora.net/on/demandware.static/-/Sites-pandora-master-catalog/default/dwbb259ca6/productimages/singlepackshot/",LEFT(A2865,FIND("-",A2865&amp;"-")-1),"_RGB.png"))),"https://us.pandora.net/on/demandware.static/-/Sites-pandora-master-catalog/default/dwbb259ca6/productimages/singlepackshot/763709C01_RGB.png")</f>
        <v>https://us.pandora.net/on/demandware.static/-/Sites-pandora-master-catalog/default/dwbb259ca6/productimages/singlepackshot/763709C01_RGB.png</v>
      </c>
    </row>
    <row r="2866" spans="1:4" x14ac:dyDescent="0.25">
      <c r="A2866" s="3" t="s">
        <v>2868</v>
      </c>
      <c r="B2866" s="4">
        <v>59</v>
      </c>
      <c r="C2866" s="3" t="str">
        <f ca="1">IFERROR(ROWSDUMMYFUNCTION(IF(A2866="","",IFERROR(IMAGE(CONCATENATE("https://us.pandora.net/on/demandware.static/-/Sites-pandora-master-catalog/default/dwbb259ca6/productimages/singlepackshot/",LEFT(A2866,FIND("-",A2866&amp;"-")-1),"_RGB.png")),""))),"{""url"":""https://us.pandora.net/on/demandware.static/-/Sites-pandora-master-catalog/default/dwbb259ca6/productimages/singlepackshot/763711C01_RGB.png"",""mode"":1}")</f>
        <v>{"url":"https://us.pandora.net/on/demandware.static/-/Sites-pandora-master-catalog/default/dwbb259ca6/productimages/singlepackshot/763711C01_RGB.png","mode":1}</v>
      </c>
      <c r="D2866" s="5" t="str">
        <f ca="1">IFERROR(ROWSDUMMYFUNCTION(IF(A2866="","",CONCATENATE("https://us.pandora.net/on/demandware.static/-/Sites-pandora-master-catalog/default/dwbb259ca6/productimages/singlepackshot/",LEFT(A2866,FIND("-",A2866&amp;"-")-1),"_RGB.png"))),"https://us.pandora.net/on/demandware.static/-/Sites-pandora-master-catalog/default/dwbb259ca6/productimages/singlepackshot/763711C01_RGB.png")</f>
        <v>https://us.pandora.net/on/demandware.static/-/Sites-pandora-master-catalog/default/dwbb259ca6/productimages/singlepackshot/763711C01_RGB.png</v>
      </c>
    </row>
    <row r="2867" spans="1:4" x14ac:dyDescent="0.25">
      <c r="A2867" s="3" t="s">
        <v>2869</v>
      </c>
      <c r="B2867" s="4">
        <v>49</v>
      </c>
      <c r="C2867" s="3" t="str">
        <f ca="1">IFERROR(ROWSDUMMYFUNCTION(IF(A2867="","",IFERROR(IMAGE(CONCATENATE("https://us.pandora.net/on/demandware.static/-/Sites-pandora-master-catalog/default/dwbb259ca6/productimages/singlepackshot/",LEFT(A2867,FIND("-",A2867&amp;"-")-1),"_RGB.png")),""))),"{""url"":""https://us.pandora.net/on/demandware.static/-/Sites-pandora-master-catalog/default/dwbb259ca6/productimages/singlepackshot/763755C00_RGB.png"",""mode"":1}")</f>
        <v>{"url":"https://us.pandora.net/on/demandware.static/-/Sites-pandora-master-catalog/default/dwbb259ca6/productimages/singlepackshot/763755C00_RGB.png","mode":1}</v>
      </c>
      <c r="D2867" s="5" t="str">
        <f ca="1">IFERROR(ROWSDUMMYFUNCTION(IF(A2867="","",CONCATENATE("https://us.pandora.net/on/demandware.static/-/Sites-pandora-master-catalog/default/dwbb259ca6/productimages/singlepackshot/",LEFT(A2867,FIND("-",A2867&amp;"-")-1),"_RGB.png"))),"https://us.pandora.net/on/demandware.static/-/Sites-pandora-master-catalog/default/dwbb259ca6/productimages/singlepackshot/763755C00_RGB.png")</f>
        <v>https://us.pandora.net/on/demandware.static/-/Sites-pandora-master-catalog/default/dwbb259ca6/productimages/singlepackshot/763755C00_RGB.png</v>
      </c>
    </row>
    <row r="2868" spans="1:4" x14ac:dyDescent="0.25">
      <c r="A2868" s="3" t="s">
        <v>2870</v>
      </c>
      <c r="B2868" s="4">
        <v>69</v>
      </c>
      <c r="C2868" s="3" t="str">
        <f ca="1">IFERROR(ROWSDUMMYFUNCTION(IF(A2868="","",IFERROR(IMAGE(CONCATENATE("https://us.pandora.net/on/demandware.static/-/Sites-pandora-master-catalog/default/dwbb259ca6/productimages/singlepackshot/",LEFT(A2868,FIND("-",A2868&amp;"-")-1),"_RGB.png")),""))),"{""url"":""https://us.pandora.net/on/demandware.static/-/Sites-pandora-master-catalog/default/dwbb259ca6/productimages/singlepackshot/763765C01_RGB.png"",""mode"":1}")</f>
        <v>{"url":"https://us.pandora.net/on/demandware.static/-/Sites-pandora-master-catalog/default/dwbb259ca6/productimages/singlepackshot/763765C01_RGB.png","mode":1}</v>
      </c>
      <c r="D2868" s="5" t="str">
        <f ca="1">IFERROR(ROWSDUMMYFUNCTION(IF(A2868="","",CONCATENATE("https://us.pandora.net/on/demandware.static/-/Sites-pandora-master-catalog/default/dwbb259ca6/productimages/singlepackshot/",LEFT(A2868,FIND("-",A2868&amp;"-")-1),"_RGB.png"))),"https://us.pandora.net/on/demandware.static/-/Sites-pandora-master-catalog/default/dwbb259ca6/productimages/singlepackshot/763765C01_RGB.png")</f>
        <v>https://us.pandora.net/on/demandware.static/-/Sites-pandora-master-catalog/default/dwbb259ca6/productimages/singlepackshot/763765C01_RGB.png</v>
      </c>
    </row>
    <row r="2869" spans="1:4" x14ac:dyDescent="0.25">
      <c r="A2869" s="3" t="s">
        <v>2871</v>
      </c>
      <c r="B2869" s="4">
        <v>69</v>
      </c>
      <c r="C2869" s="3" t="str">
        <f ca="1">IFERROR(ROWSDUMMYFUNCTION(IF(A2869="","",IFERROR(IMAGE(CONCATENATE("https://us.pandora.net/on/demandware.static/-/Sites-pandora-master-catalog/default/dwbb259ca6/productimages/singlepackshot/",LEFT(A2869,FIND("-",A2869&amp;"-")-1),"_RGB.png")),""))),"{""url"":""https://us.pandora.net/on/demandware.static/-/Sites-pandora-master-catalog/default/dwbb259ca6/productimages/singlepackshot/763781C01_RGB.png"",""mode"":1}")</f>
        <v>{"url":"https://us.pandora.net/on/demandware.static/-/Sites-pandora-master-catalog/default/dwbb259ca6/productimages/singlepackshot/763781C01_RGB.png","mode":1}</v>
      </c>
      <c r="D2869" s="5" t="str">
        <f ca="1">IFERROR(ROWSDUMMYFUNCTION(IF(A2869="","",CONCATENATE("https://us.pandora.net/on/demandware.static/-/Sites-pandora-master-catalog/default/dwbb259ca6/productimages/singlepackshot/",LEFT(A2869,FIND("-",A2869&amp;"-")-1),"_RGB.png"))),"https://us.pandora.net/on/demandware.static/-/Sites-pandora-master-catalog/default/dwbb259ca6/productimages/singlepackshot/763781C01_RGB.png")</f>
        <v>https://us.pandora.net/on/demandware.static/-/Sites-pandora-master-catalog/default/dwbb259ca6/productimages/singlepackshot/763781C01_RGB.png</v>
      </c>
    </row>
    <row r="2870" spans="1:4" x14ac:dyDescent="0.25">
      <c r="A2870" s="3" t="s">
        <v>2872</v>
      </c>
      <c r="B2870" s="4">
        <v>49</v>
      </c>
      <c r="C2870" s="3" t="str">
        <f ca="1">IFERROR(ROWSDUMMYFUNCTION(IF(A2870="","",IFERROR(IMAGE(CONCATENATE("https://us.pandora.net/on/demandware.static/-/Sites-pandora-master-catalog/default/dwbb259ca6/productimages/singlepackshot/",LEFT(A2870,FIND("-",A2870&amp;"-")-1),"_RGB.png")),""))),"{""url"":""https://us.pandora.net/on/demandware.static/-/Sites-pandora-master-catalog/default/dwbb259ca6/productimages/singlepackshot/763784C01_RGB.png"",""mode"":1}")</f>
        <v>{"url":"https://us.pandora.net/on/demandware.static/-/Sites-pandora-master-catalog/default/dwbb259ca6/productimages/singlepackshot/763784C01_RGB.png","mode":1}</v>
      </c>
      <c r="D2870" s="5" t="str">
        <f ca="1">IFERROR(ROWSDUMMYFUNCTION(IF(A2870="","",CONCATENATE("https://us.pandora.net/on/demandware.static/-/Sites-pandora-master-catalog/default/dwbb259ca6/productimages/singlepackshot/",LEFT(A2870,FIND("-",A2870&amp;"-")-1),"_RGB.png"))),"https://us.pandora.net/on/demandware.static/-/Sites-pandora-master-catalog/default/dwbb259ca6/productimages/singlepackshot/763784C01_RGB.png")</f>
        <v>https://us.pandora.net/on/demandware.static/-/Sites-pandora-master-catalog/default/dwbb259ca6/productimages/singlepackshot/763784C01_RGB.png</v>
      </c>
    </row>
    <row r="2871" spans="1:4" x14ac:dyDescent="0.25">
      <c r="A2871" s="3" t="s">
        <v>2873</v>
      </c>
      <c r="B2871" s="4">
        <v>65</v>
      </c>
      <c r="C2871" s="3" t="str">
        <f ca="1">IFERROR(ROWSDUMMYFUNCTION(IF(A2871="","",IFERROR(IMAGE(CONCATENATE("https://us.pandora.net/on/demandware.static/-/Sites-pandora-master-catalog/default/dwbb259ca6/productimages/singlepackshot/",LEFT(A2871,FIND("-",A2871&amp;"-")-1),"_RGB.png")),""))),"{""url"":""https://us.pandora.net/on/demandware.static/-/Sites-pandora-master-catalog/default/dwbb259ca6/productimages/singlepackshot/763785C01_RGB.png"",""mode"":1}")</f>
        <v>{"url":"https://us.pandora.net/on/demandware.static/-/Sites-pandora-master-catalog/default/dwbb259ca6/productimages/singlepackshot/763785C01_RGB.png","mode":1}</v>
      </c>
      <c r="D2871" s="5" t="str">
        <f ca="1">IFERROR(ROWSDUMMYFUNCTION(IF(A2871="","",CONCATENATE("https://us.pandora.net/on/demandware.static/-/Sites-pandora-master-catalog/default/dwbb259ca6/productimages/singlepackshot/",LEFT(A2871,FIND("-",A2871&amp;"-")-1),"_RGB.png"))),"https://us.pandora.net/on/demandware.static/-/Sites-pandora-master-catalog/default/dwbb259ca6/productimages/singlepackshot/763785C01_RGB.png")</f>
        <v>https://us.pandora.net/on/demandware.static/-/Sites-pandora-master-catalog/default/dwbb259ca6/productimages/singlepackshot/763785C01_RGB.png</v>
      </c>
    </row>
    <row r="2872" spans="1:4" x14ac:dyDescent="0.25">
      <c r="A2872" s="3" t="s">
        <v>2874</v>
      </c>
      <c r="B2872" s="4">
        <v>89</v>
      </c>
      <c r="C2872" s="3" t="str">
        <f ca="1">IFERROR(ROWSDUMMYFUNCTION(IF(A2872="","",IFERROR(IMAGE(CONCATENATE("https://us.pandora.net/on/demandware.static/-/Sites-pandora-master-catalog/default/dwbb259ca6/productimages/singlepackshot/",LEFT(A2872,FIND("-",A2872&amp;"-")-1),"_RGB.png")),""))),"{""url"":""https://us.pandora.net/on/demandware.static/-/Sites-pandora-master-catalog/default/dwbb259ca6/productimages/singlepackshot/763787C01_RGB.png"",""mode"":1}")</f>
        <v>{"url":"https://us.pandora.net/on/demandware.static/-/Sites-pandora-master-catalog/default/dwbb259ca6/productimages/singlepackshot/763787C01_RGB.png","mode":1}</v>
      </c>
      <c r="D2872" s="5" t="str">
        <f ca="1">IFERROR(ROWSDUMMYFUNCTION(IF(A2872="","",CONCATENATE("https://us.pandora.net/on/demandware.static/-/Sites-pandora-master-catalog/default/dwbb259ca6/productimages/singlepackshot/",LEFT(A2872,FIND("-",A2872&amp;"-")-1),"_RGB.png"))),"https://us.pandora.net/on/demandware.static/-/Sites-pandora-master-catalog/default/dwbb259ca6/productimages/singlepackshot/763787C01_RGB.png")</f>
        <v>https://us.pandora.net/on/demandware.static/-/Sites-pandora-master-catalog/default/dwbb259ca6/productimages/singlepackshot/763787C01_RGB.png</v>
      </c>
    </row>
    <row r="2873" spans="1:4" x14ac:dyDescent="0.25">
      <c r="A2873" s="3" t="s">
        <v>2875</v>
      </c>
      <c r="B2873" s="4">
        <v>119</v>
      </c>
      <c r="C2873" s="3" t="str">
        <f ca="1">IFERROR(ROWSDUMMYFUNCTION(IF(A2873="","",IFERROR(IMAGE(CONCATENATE("https://us.pandora.net/on/demandware.static/-/Sites-pandora-master-catalog/default/dwbb259ca6/productimages/singlepackshot/",LEFT(A2873,FIND("-",A2873&amp;"-")-1),"_RGB.png")),""))),"{""url"":""https://us.pandora.net/on/demandware.static/-/Sites-pandora-master-catalog/default/dwbb259ca6/productimages/singlepackshot/763818C01_RGB.png"",""mode"":1}")</f>
        <v>{"url":"https://us.pandora.net/on/demandware.static/-/Sites-pandora-master-catalog/default/dwbb259ca6/productimages/singlepackshot/763818C01_RGB.png","mode":1}</v>
      </c>
      <c r="D2873" s="5" t="str">
        <f ca="1">IFERROR(ROWSDUMMYFUNCTION(IF(A2873="","",CONCATENATE("https://us.pandora.net/on/demandware.static/-/Sites-pandora-master-catalog/default/dwbb259ca6/productimages/singlepackshot/",LEFT(A2873,FIND("-",A2873&amp;"-")-1),"_RGB.png"))),"https://us.pandora.net/on/demandware.static/-/Sites-pandora-master-catalog/default/dwbb259ca6/productimages/singlepackshot/763818C01_RGB.png")</f>
        <v>https://us.pandora.net/on/demandware.static/-/Sites-pandora-master-catalog/default/dwbb259ca6/productimages/singlepackshot/763818C01_RGB.png</v>
      </c>
    </row>
    <row r="2874" spans="1:4" x14ac:dyDescent="0.25">
      <c r="A2874" s="3" t="s">
        <v>2876</v>
      </c>
      <c r="B2874" s="4">
        <v>39</v>
      </c>
      <c r="C2874" s="3" t="str">
        <f ca="1">IFERROR(ROWSDUMMYFUNCTION(IF(A2874="","",IFERROR(IMAGE(CONCATENATE("https://us.pandora.net/on/demandware.static/-/Sites-pandora-master-catalog/default/dwbb259ca6/productimages/singlepackshot/",LEFT(A2874,FIND("-",A2874&amp;"-")-1),"_RGB.png")),""))),"{""url"":""https://us.pandora.net/on/demandware.static/-/Sites-pandora-master-catalog/default/dwbb259ca6/productimages/singlepackshot/763823C01_RGB.png"",""mode"":1}")</f>
        <v>{"url":"https://us.pandora.net/on/demandware.static/-/Sites-pandora-master-catalog/default/dwbb259ca6/productimages/singlepackshot/763823C01_RGB.png","mode":1}</v>
      </c>
      <c r="D2874" s="5" t="str">
        <f ca="1">IFERROR(ROWSDUMMYFUNCTION(IF(A2874="","",CONCATENATE("https://us.pandora.net/on/demandware.static/-/Sites-pandora-master-catalog/default/dwbb259ca6/productimages/singlepackshot/",LEFT(A2874,FIND("-",A2874&amp;"-")-1),"_RGB.png"))),"https://us.pandora.net/on/demandware.static/-/Sites-pandora-master-catalog/default/dwbb259ca6/productimages/singlepackshot/763823C01_RGB.png")</f>
        <v>https://us.pandora.net/on/demandware.static/-/Sites-pandora-master-catalog/default/dwbb259ca6/productimages/singlepackshot/763823C01_RGB.png</v>
      </c>
    </row>
    <row r="2875" spans="1:4" x14ac:dyDescent="0.25">
      <c r="A2875" s="3" t="s">
        <v>2877</v>
      </c>
      <c r="B2875" s="4">
        <v>49</v>
      </c>
      <c r="C2875" s="3" t="str">
        <f ca="1">IFERROR(ROWSDUMMYFUNCTION(IF(A2875="","",IFERROR(IMAGE(CONCATENATE("https://us.pandora.net/on/demandware.static/-/Sites-pandora-master-catalog/default/dwbb259ca6/productimages/singlepackshot/",LEFT(A2875,FIND("-",A2875&amp;"-")-1),"_RGB.png")),""))),"{""url"":""https://us.pandora.net/on/demandware.static/-/Sites-pandora-master-catalog/default/dwbb259ca6/productimages/singlepackshot/763824C00_RGB.png"",""mode"":1}")</f>
        <v>{"url":"https://us.pandora.net/on/demandware.static/-/Sites-pandora-master-catalog/default/dwbb259ca6/productimages/singlepackshot/763824C00_RGB.png","mode":1}</v>
      </c>
      <c r="D2875" s="5" t="str">
        <f ca="1">IFERROR(ROWSDUMMYFUNCTION(IF(A2875="","",CONCATENATE("https://us.pandora.net/on/demandware.static/-/Sites-pandora-master-catalog/default/dwbb259ca6/productimages/singlepackshot/",LEFT(A2875,FIND("-",A2875&amp;"-")-1),"_RGB.png"))),"https://us.pandora.net/on/demandware.static/-/Sites-pandora-master-catalog/default/dwbb259ca6/productimages/singlepackshot/763824C00_RGB.png")</f>
        <v>https://us.pandora.net/on/demandware.static/-/Sites-pandora-master-catalog/default/dwbb259ca6/productimages/singlepackshot/763824C00_RGB.png</v>
      </c>
    </row>
    <row r="2876" spans="1:4" x14ac:dyDescent="0.25">
      <c r="A2876" s="3" t="s">
        <v>2878</v>
      </c>
      <c r="B2876" s="4">
        <v>39</v>
      </c>
      <c r="C2876" s="3" t="str">
        <f ca="1">IFERROR(ROWSDUMMYFUNCTION(IF(A2876="","",IFERROR(IMAGE(CONCATENATE("https://us.pandora.net/on/demandware.static/-/Sites-pandora-master-catalog/default/dwbb259ca6/productimages/singlepackshot/",LEFT(A2876,FIND("-",A2876&amp;"-")-1),"_RGB.png")),""))),"{""url"":""https://us.pandora.net/on/demandware.static/-/Sites-pandora-master-catalog/default/dwbb259ca6/productimages/singlepackshot/763825C01_RGB.png"",""mode"":1}")</f>
        <v>{"url":"https://us.pandora.net/on/demandware.static/-/Sites-pandora-master-catalog/default/dwbb259ca6/productimages/singlepackshot/763825C01_RGB.png","mode":1}</v>
      </c>
      <c r="D2876" s="5" t="str">
        <f ca="1">IFERROR(ROWSDUMMYFUNCTION(IF(A2876="","",CONCATENATE("https://us.pandora.net/on/demandware.static/-/Sites-pandora-master-catalog/default/dwbb259ca6/productimages/singlepackshot/",LEFT(A2876,FIND("-",A2876&amp;"-")-1),"_RGB.png"))),"https://us.pandora.net/on/demandware.static/-/Sites-pandora-master-catalog/default/dwbb259ca6/productimages/singlepackshot/763825C01_RGB.png")</f>
        <v>https://us.pandora.net/on/demandware.static/-/Sites-pandora-master-catalog/default/dwbb259ca6/productimages/singlepackshot/763825C01_RGB.png</v>
      </c>
    </row>
    <row r="2877" spans="1:4" x14ac:dyDescent="0.25">
      <c r="A2877" s="3" t="s">
        <v>2879</v>
      </c>
      <c r="B2877" s="4">
        <v>39</v>
      </c>
      <c r="C2877" s="3" t="str">
        <f ca="1">IFERROR(ROWSDUMMYFUNCTION(IF(A2877="","",IFERROR(IMAGE(CONCATENATE("https://us.pandora.net/on/demandware.static/-/Sites-pandora-master-catalog/default/dwbb259ca6/productimages/singlepackshot/",LEFT(A2877,FIND("-",A2877&amp;"-")-1),"_RGB.png")),""))),"{""url"":""https://us.pandora.net/on/demandware.static/-/Sites-pandora-master-catalog/default/dwbb259ca6/productimages/singlepackshot/763826C01_RGB.png"",""mode"":1}")</f>
        <v>{"url":"https://us.pandora.net/on/demandware.static/-/Sites-pandora-master-catalog/default/dwbb259ca6/productimages/singlepackshot/763826C01_RGB.png","mode":1}</v>
      </c>
      <c r="D2877" s="5" t="str">
        <f ca="1">IFERROR(ROWSDUMMYFUNCTION(IF(A2877="","",CONCATENATE("https://us.pandora.net/on/demandware.static/-/Sites-pandora-master-catalog/default/dwbb259ca6/productimages/singlepackshot/",LEFT(A2877,FIND("-",A2877&amp;"-")-1),"_RGB.png"))),"https://us.pandora.net/on/demandware.static/-/Sites-pandora-master-catalog/default/dwbb259ca6/productimages/singlepackshot/763826C01_RGB.png")</f>
        <v>https://us.pandora.net/on/demandware.static/-/Sites-pandora-master-catalog/default/dwbb259ca6/productimages/singlepackshot/763826C01_RGB.png</v>
      </c>
    </row>
    <row r="2878" spans="1:4" x14ac:dyDescent="0.25">
      <c r="A2878" s="3" t="s">
        <v>2880</v>
      </c>
      <c r="B2878" s="4">
        <v>59</v>
      </c>
      <c r="C2878" s="3" t="str">
        <f ca="1">IFERROR(ROWSDUMMYFUNCTION(IF(A2878="","",IFERROR(IMAGE(CONCATENATE("https://us.pandora.net/on/demandware.static/-/Sites-pandora-master-catalog/default/dwbb259ca6/productimages/singlepackshot/",LEFT(A2878,FIND("-",A2878&amp;"-")-1),"_RGB.png")),""))),"{""url"":""https://us.pandora.net/on/demandware.static/-/Sites-pandora-master-catalog/default/dwbb259ca6/productimages/singlepackshot/763859C01_RGB.png"",""mode"":1}")</f>
        <v>{"url":"https://us.pandora.net/on/demandware.static/-/Sites-pandora-master-catalog/default/dwbb259ca6/productimages/singlepackshot/763859C01_RGB.png","mode":1}</v>
      </c>
      <c r="D2878" s="5" t="str">
        <f ca="1">IFERROR(ROWSDUMMYFUNCTION(IF(A2878="","",CONCATENATE("https://us.pandora.net/on/demandware.static/-/Sites-pandora-master-catalog/default/dwbb259ca6/productimages/singlepackshot/",LEFT(A2878,FIND("-",A2878&amp;"-")-1),"_RGB.png"))),"https://us.pandora.net/on/demandware.static/-/Sites-pandora-master-catalog/default/dwbb259ca6/productimages/singlepackshot/763859C01_RGB.png")</f>
        <v>https://us.pandora.net/on/demandware.static/-/Sites-pandora-master-catalog/default/dwbb259ca6/productimages/singlepackshot/763859C01_RGB.png</v>
      </c>
    </row>
    <row r="2879" spans="1:4" x14ac:dyDescent="0.25">
      <c r="A2879" s="3" t="s">
        <v>2881</v>
      </c>
      <c r="B2879" s="4">
        <v>39</v>
      </c>
      <c r="C2879" s="3" t="str">
        <f ca="1">IFERROR(ROWSDUMMYFUNCTION(IF(A2879="","",IFERROR(IMAGE(CONCATENATE("https://us.pandora.net/on/demandware.static/-/Sites-pandora-master-catalog/default/dwbb259ca6/productimages/singlepackshot/",LEFT(A2879,FIND("-",A2879&amp;"-")-1),"_RGB.png")),""))),"{""url"":""https://us.pandora.net/on/demandware.static/-/Sites-pandora-master-catalog/default/dwbb259ca6/productimages/singlepackshot/763862C01_RGB.png"",""mode"":1}")</f>
        <v>{"url":"https://us.pandora.net/on/demandware.static/-/Sites-pandora-master-catalog/default/dwbb259ca6/productimages/singlepackshot/763862C01_RGB.png","mode":1}</v>
      </c>
      <c r="D2879" s="5" t="str">
        <f ca="1">IFERROR(ROWSDUMMYFUNCTION(IF(A2879="","",CONCATENATE("https://us.pandora.net/on/demandware.static/-/Sites-pandora-master-catalog/default/dwbb259ca6/productimages/singlepackshot/",LEFT(A2879,FIND("-",A2879&amp;"-")-1),"_RGB.png"))),"https://us.pandora.net/on/demandware.static/-/Sites-pandora-master-catalog/default/dwbb259ca6/productimages/singlepackshot/763862C01_RGB.png")</f>
        <v>https://us.pandora.net/on/demandware.static/-/Sites-pandora-master-catalog/default/dwbb259ca6/productimages/singlepackshot/763862C01_RGB.png</v>
      </c>
    </row>
    <row r="2880" spans="1:4" x14ac:dyDescent="0.25">
      <c r="A2880" s="3" t="s">
        <v>2882</v>
      </c>
      <c r="B2880" s="4">
        <v>79</v>
      </c>
      <c r="C2880" s="3" t="str">
        <f ca="1">IFERROR(ROWSDUMMYFUNCTION(IF(A2880="","",IFERROR(IMAGE(CONCATENATE("https://us.pandora.net/on/demandware.static/-/Sites-pandora-master-catalog/default/dwbb259ca6/productimages/singlepackshot/",LEFT(A2880,FIND("-",A2880&amp;"-")-1),"_RGB.png")),""))),"{""url"":""https://us.pandora.net/on/demandware.static/-/Sites-pandora-master-catalog/default/dwbb259ca6/productimages/singlepackshot/763891C01_RGB.png"",""mode"":1}")</f>
        <v>{"url":"https://us.pandora.net/on/demandware.static/-/Sites-pandora-master-catalog/default/dwbb259ca6/productimages/singlepackshot/763891C01_RGB.png","mode":1}</v>
      </c>
      <c r="D2880" s="5" t="str">
        <f ca="1">IFERROR(ROWSDUMMYFUNCTION(IF(A2880="","",CONCATENATE("https://us.pandora.net/on/demandware.static/-/Sites-pandora-master-catalog/default/dwbb259ca6/productimages/singlepackshot/",LEFT(A2880,FIND("-",A2880&amp;"-")-1),"_RGB.png"))),"https://us.pandora.net/on/demandware.static/-/Sites-pandora-master-catalog/default/dwbb259ca6/productimages/singlepackshot/763891C01_RGB.png")</f>
        <v>https://us.pandora.net/on/demandware.static/-/Sites-pandora-master-catalog/default/dwbb259ca6/productimages/singlepackshot/763891C01_RGB.png</v>
      </c>
    </row>
    <row r="2881" spans="1:4" x14ac:dyDescent="0.25">
      <c r="A2881" s="3" t="s">
        <v>2883</v>
      </c>
      <c r="B2881" s="4">
        <v>69</v>
      </c>
      <c r="C2881" s="3" t="str">
        <f ca="1">IFERROR(ROWSDUMMYFUNCTION(IF(A2881="","",IFERROR(IMAGE(CONCATENATE("https://us.pandora.net/on/demandware.static/-/Sites-pandora-master-catalog/default/dwbb259ca6/productimages/singlepackshot/",LEFT(A2881,FIND("-",A2881&amp;"-")-1),"_RGB.png")),""))),"{""url"":""https://us.pandora.net/on/demandware.static/-/Sites-pandora-master-catalog/default/dwbb259ca6/productimages/singlepackshot/763892C01_RGB.png"",""mode"":1}")</f>
        <v>{"url":"https://us.pandora.net/on/demandware.static/-/Sites-pandora-master-catalog/default/dwbb259ca6/productimages/singlepackshot/763892C01_RGB.png","mode":1}</v>
      </c>
      <c r="D2881" s="5" t="str">
        <f ca="1">IFERROR(ROWSDUMMYFUNCTION(IF(A2881="","",CONCATENATE("https://us.pandora.net/on/demandware.static/-/Sites-pandora-master-catalog/default/dwbb259ca6/productimages/singlepackshot/",LEFT(A2881,FIND("-",A2881&amp;"-")-1),"_RGB.png"))),"https://us.pandora.net/on/demandware.static/-/Sites-pandora-master-catalog/default/dwbb259ca6/productimages/singlepackshot/763892C01_RGB.png")</f>
        <v>https://us.pandora.net/on/demandware.static/-/Sites-pandora-master-catalog/default/dwbb259ca6/productimages/singlepackshot/763892C01_RGB.png</v>
      </c>
    </row>
    <row r="2882" spans="1:4" x14ac:dyDescent="0.25">
      <c r="A2882" s="3" t="s">
        <v>2884</v>
      </c>
      <c r="B2882" s="4">
        <v>69</v>
      </c>
      <c r="C2882" s="3" t="str">
        <f ca="1">IFERROR(ROWSDUMMYFUNCTION(IF(A2882="","",IFERROR(IMAGE(CONCATENATE("https://us.pandora.net/on/demandware.static/-/Sites-pandora-master-catalog/default/dwbb259ca6/productimages/singlepackshot/",LEFT(A2882,FIND("-",A2882&amp;"-")-1),"_RGB.png")),""))),"{""url"":""https://us.pandora.net/on/demandware.static/-/Sites-pandora-master-catalog/default/dwbb259ca6/productimages/singlepackshot/763895C01_RGB.png"",""mode"":1}")</f>
        <v>{"url":"https://us.pandora.net/on/demandware.static/-/Sites-pandora-master-catalog/default/dwbb259ca6/productimages/singlepackshot/763895C01_RGB.png","mode":1}</v>
      </c>
      <c r="D2882" s="5" t="str">
        <f ca="1">IFERROR(ROWSDUMMYFUNCTION(IF(A2882="","",CONCATENATE("https://us.pandora.net/on/demandware.static/-/Sites-pandora-master-catalog/default/dwbb259ca6/productimages/singlepackshot/",LEFT(A2882,FIND("-",A2882&amp;"-")-1),"_RGB.png"))),"https://us.pandora.net/on/demandware.static/-/Sites-pandora-master-catalog/default/dwbb259ca6/productimages/singlepackshot/763895C01_RGB.png")</f>
        <v>https://us.pandora.net/on/demandware.static/-/Sites-pandora-master-catalog/default/dwbb259ca6/productimages/singlepackshot/763895C01_RGB.png</v>
      </c>
    </row>
    <row r="2883" spans="1:4" x14ac:dyDescent="0.25">
      <c r="A2883" s="3" t="s">
        <v>2885</v>
      </c>
      <c r="B2883" s="4">
        <v>59</v>
      </c>
      <c r="C2883" s="3" t="str">
        <f ca="1">IFERROR(ROWSDUMMYFUNCTION(IF(A2883="","",IFERROR(IMAGE(CONCATENATE("https://us.pandora.net/on/demandware.static/-/Sites-pandora-master-catalog/default/dwbb259ca6/productimages/singlepackshot/",LEFT(A2883,FIND("-",A2883&amp;"-")-1),"_RGB.png")),""))),"{""url"":""https://us.pandora.net/on/demandware.static/-/Sites-pandora-master-catalog/default/dwbb259ca6/productimages/singlepackshot/763902C01_RGB.png"",""mode"":1}")</f>
        <v>{"url":"https://us.pandora.net/on/demandware.static/-/Sites-pandora-master-catalog/default/dwbb259ca6/productimages/singlepackshot/763902C01_RGB.png","mode":1}</v>
      </c>
      <c r="D2883" s="5" t="str">
        <f ca="1">IFERROR(ROWSDUMMYFUNCTION(IF(A2883="","",CONCATENATE("https://us.pandora.net/on/demandware.static/-/Sites-pandora-master-catalog/default/dwbb259ca6/productimages/singlepackshot/",LEFT(A2883,FIND("-",A2883&amp;"-")-1),"_RGB.png"))),"https://us.pandora.net/on/demandware.static/-/Sites-pandora-master-catalog/default/dwbb259ca6/productimages/singlepackshot/763902C01_RGB.png")</f>
        <v>https://us.pandora.net/on/demandware.static/-/Sites-pandora-master-catalog/default/dwbb259ca6/productimages/singlepackshot/763902C01_RGB.png</v>
      </c>
    </row>
    <row r="2884" spans="1:4" x14ac:dyDescent="0.25">
      <c r="A2884" s="3" t="s">
        <v>2886</v>
      </c>
      <c r="B2884" s="4">
        <v>69</v>
      </c>
      <c r="C2884" s="3" t="str">
        <f ca="1">IFERROR(ROWSDUMMYFUNCTION(IF(A2884="","",IFERROR(IMAGE(CONCATENATE("https://us.pandora.net/on/demandware.static/-/Sites-pandora-master-catalog/default/dwbb259ca6/productimages/singlepackshot/",LEFT(A2884,FIND("-",A2884&amp;"-")-1),"_RGB.png")),""))),"{""url"":""https://us.pandora.net/on/demandware.static/-/Sites-pandora-master-catalog/default/dwbb259ca6/productimages/singlepackshot/763904C00_RGB.png"",""mode"":1}")</f>
        <v>{"url":"https://us.pandora.net/on/demandware.static/-/Sites-pandora-master-catalog/default/dwbb259ca6/productimages/singlepackshot/763904C00_RGB.png","mode":1}</v>
      </c>
      <c r="D2884" s="5" t="str">
        <f ca="1">IFERROR(ROWSDUMMYFUNCTION(IF(A2884="","",CONCATENATE("https://us.pandora.net/on/demandware.static/-/Sites-pandora-master-catalog/default/dwbb259ca6/productimages/singlepackshot/",LEFT(A2884,FIND("-",A2884&amp;"-")-1),"_RGB.png"))),"https://us.pandora.net/on/demandware.static/-/Sites-pandora-master-catalog/default/dwbb259ca6/productimages/singlepackshot/763904C00_RGB.png")</f>
        <v>https://us.pandora.net/on/demandware.static/-/Sites-pandora-master-catalog/default/dwbb259ca6/productimages/singlepackshot/763904C00_RGB.png</v>
      </c>
    </row>
    <row r="2885" spans="1:4" x14ac:dyDescent="0.25">
      <c r="A2885" s="3" t="s">
        <v>2887</v>
      </c>
      <c r="B2885" s="4">
        <v>59</v>
      </c>
      <c r="C2885" s="3" t="str">
        <f ca="1">IFERROR(ROWSDUMMYFUNCTION(IF(A2885="","",IFERROR(IMAGE(CONCATENATE("https://us.pandora.net/on/demandware.static/-/Sites-pandora-master-catalog/default/dwbb259ca6/productimages/singlepackshot/",LEFT(A2885,FIND("-",A2885&amp;"-")-1),"_RGB.png")),""))),"{""url"":""https://us.pandora.net/on/demandware.static/-/Sites-pandora-master-catalog/default/dwbb259ca6/productimages/singlepackshot/763915C01_RGB.png"",""mode"":1}")</f>
        <v>{"url":"https://us.pandora.net/on/demandware.static/-/Sites-pandora-master-catalog/default/dwbb259ca6/productimages/singlepackshot/763915C01_RGB.png","mode":1}</v>
      </c>
      <c r="D2885" s="5" t="str">
        <f ca="1">IFERROR(ROWSDUMMYFUNCTION(IF(A2885="","",CONCATENATE("https://us.pandora.net/on/demandware.static/-/Sites-pandora-master-catalog/default/dwbb259ca6/productimages/singlepackshot/",LEFT(A2885,FIND("-",A2885&amp;"-")-1),"_RGB.png"))),"https://us.pandora.net/on/demandware.static/-/Sites-pandora-master-catalog/default/dwbb259ca6/productimages/singlepackshot/763915C01_RGB.png")</f>
        <v>https://us.pandora.net/on/demandware.static/-/Sites-pandora-master-catalog/default/dwbb259ca6/productimages/singlepackshot/763915C01_RGB.png</v>
      </c>
    </row>
    <row r="2886" spans="1:4" x14ac:dyDescent="0.25">
      <c r="A2886" s="3" t="s">
        <v>2888</v>
      </c>
      <c r="B2886" s="4">
        <v>69</v>
      </c>
      <c r="C2886" s="3" t="str">
        <f ca="1">IFERROR(ROWSDUMMYFUNCTION(IF(A2886="","",IFERROR(IMAGE(CONCATENATE("https://us.pandora.net/on/demandware.static/-/Sites-pandora-master-catalog/default/dwbb259ca6/productimages/singlepackshot/",LEFT(A2886,FIND("-",A2886&amp;"-")-1),"_RGB.png")),""))),"{""url"":""https://us.pandora.net/on/demandware.static/-/Sites-pandora-master-catalog/default/dwbb259ca6/productimages/singlepackshot/763926C01_E002_RGB.png"",""mode"":1}")</f>
        <v>{"url":"https://us.pandora.net/on/demandware.static/-/Sites-pandora-master-catalog/default/dwbb259ca6/productimages/singlepackshot/763926C01_E002_RGB.png","mode":1}</v>
      </c>
      <c r="D2886" s="5" t="str">
        <f ca="1">IFERROR(ROWSDUMMYFUNCTION(IF(A2886="","",CONCATENATE("https://us.pandora.net/on/demandware.static/-/Sites-pandora-master-catalog/default/dwbb259ca6/productimages/singlepackshot/",LEFT(A2886,FIND("-",A2886&amp;"-")-1),"_RGB.png"))),"https://us.pandora.net/on/demandware.static/-/Sites-pandora-master-catalog/default/dwbb259ca6/productimages/singlepackshot/763926C01_E002_RGB.png")</f>
        <v>https://us.pandora.net/on/demandware.static/-/Sites-pandora-master-catalog/default/dwbb259ca6/productimages/singlepackshot/763926C01_E002_RGB.png</v>
      </c>
    </row>
    <row r="2887" spans="1:4" x14ac:dyDescent="0.25">
      <c r="A2887" s="3" t="s">
        <v>2889</v>
      </c>
      <c r="B2887" s="4">
        <v>49</v>
      </c>
      <c r="C2887" s="3" t="str">
        <f ca="1">IFERROR(ROWSDUMMYFUNCTION(IF(A2887="","",IFERROR(IMAGE(CONCATENATE("https://us.pandora.net/on/demandware.static/-/Sites-pandora-master-catalog/default/dwbb259ca6/productimages/singlepackshot/",LEFT(A2887,FIND("-",A2887&amp;"-")-1),"_RGB.png")),""))),"{""url"":""https://us.pandora.net/on/demandware.static/-/Sites-pandora-master-catalog/default/dwbb259ca6/productimages/singlepackshot/763947C00_RGB.png"",""mode"":1}")</f>
        <v>{"url":"https://us.pandora.net/on/demandware.static/-/Sites-pandora-master-catalog/default/dwbb259ca6/productimages/singlepackshot/763947C00_RGB.png","mode":1}</v>
      </c>
      <c r="D2887" s="5" t="str">
        <f ca="1">IFERROR(ROWSDUMMYFUNCTION(IF(A2887="","",CONCATENATE("https://us.pandora.net/on/demandware.static/-/Sites-pandora-master-catalog/default/dwbb259ca6/productimages/singlepackshot/",LEFT(A2887,FIND("-",A2887&amp;"-")-1),"_RGB.png"))),"https://us.pandora.net/on/demandware.static/-/Sites-pandora-master-catalog/default/dwbb259ca6/productimages/singlepackshot/763947C00_RGB.png")</f>
        <v>https://us.pandora.net/on/demandware.static/-/Sites-pandora-master-catalog/default/dwbb259ca6/productimages/singlepackshot/763947C00_RGB.png</v>
      </c>
    </row>
    <row r="2888" spans="1:4" x14ac:dyDescent="0.25">
      <c r="A2888" s="3" t="s">
        <v>2890</v>
      </c>
      <c r="B2888" s="4">
        <v>49</v>
      </c>
      <c r="C2888" s="3" t="str">
        <f ca="1">IFERROR(ROWSDUMMYFUNCTION(IF(A2888="","",IFERROR(IMAGE(CONCATENATE("https://us.pandora.net/on/demandware.static/-/Sites-pandora-master-catalog/default/dwbb259ca6/productimages/singlepackshot/",LEFT(A2888,FIND("-",A2888&amp;"-")-1),"_RGB.png")),""))),"{""url"":""https://us.pandora.net/on/demandware.static/-/Sites-pandora-master-catalog/default/dwbb259ca6/productimages/singlepackshot/763948C00_RGB.png"",""mode"":1}")</f>
        <v>{"url":"https://us.pandora.net/on/demandware.static/-/Sites-pandora-master-catalog/default/dwbb259ca6/productimages/singlepackshot/763948C00_RGB.png","mode":1}</v>
      </c>
      <c r="D2888" s="5" t="str">
        <f ca="1">IFERROR(ROWSDUMMYFUNCTION(IF(A2888="","",CONCATENATE("https://us.pandora.net/on/demandware.static/-/Sites-pandora-master-catalog/default/dwbb259ca6/productimages/singlepackshot/",LEFT(A2888,FIND("-",A2888&amp;"-")-1),"_RGB.png"))),"https://us.pandora.net/on/demandware.static/-/Sites-pandora-master-catalog/default/dwbb259ca6/productimages/singlepackshot/763948C00_RGB.png")</f>
        <v>https://us.pandora.net/on/demandware.static/-/Sites-pandora-master-catalog/default/dwbb259ca6/productimages/singlepackshot/763948C00_RGB.png</v>
      </c>
    </row>
    <row r="2889" spans="1:4" x14ac:dyDescent="0.25">
      <c r="A2889" s="3" t="s">
        <v>2891</v>
      </c>
      <c r="B2889" s="4">
        <v>49</v>
      </c>
      <c r="C2889" s="3" t="str">
        <f ca="1">IFERROR(ROWSDUMMYFUNCTION(IF(A2889="","",IFERROR(IMAGE(CONCATENATE("https://us.pandora.net/on/demandware.static/-/Sites-pandora-master-catalog/default/dwbb259ca6/productimages/singlepackshot/",LEFT(A2889,FIND("-",A2889&amp;"-")-1),"_RGB.png")),""))),"{""url"":""https://us.pandora.net/on/demandware.static/-/Sites-pandora-master-catalog/default/dwbb259ca6/productimages/singlepackshot/763949C00_RGB.png"",""mode"":1}")</f>
        <v>{"url":"https://us.pandora.net/on/demandware.static/-/Sites-pandora-master-catalog/default/dwbb259ca6/productimages/singlepackshot/763949C00_RGB.png","mode":1}</v>
      </c>
      <c r="D2889" s="5" t="str">
        <f ca="1">IFERROR(ROWSDUMMYFUNCTION(IF(A2889="","",CONCATENATE("https://us.pandora.net/on/demandware.static/-/Sites-pandora-master-catalog/default/dwbb259ca6/productimages/singlepackshot/",LEFT(A2889,FIND("-",A2889&amp;"-")-1),"_RGB.png"))),"https://us.pandora.net/on/demandware.static/-/Sites-pandora-master-catalog/default/dwbb259ca6/productimages/singlepackshot/763949C00_RGB.png")</f>
        <v>https://us.pandora.net/on/demandware.static/-/Sites-pandora-master-catalog/default/dwbb259ca6/productimages/singlepackshot/763949C00_RGB.png</v>
      </c>
    </row>
    <row r="2890" spans="1:4" x14ac:dyDescent="0.25">
      <c r="A2890" s="3" t="s">
        <v>2892</v>
      </c>
      <c r="B2890" s="4">
        <v>49</v>
      </c>
      <c r="C2890" s="3" t="str">
        <f ca="1">IFERROR(ROWSDUMMYFUNCTION(IF(A2890="","",IFERROR(IMAGE(CONCATENATE("https://us.pandora.net/on/demandware.static/-/Sites-pandora-master-catalog/default/dwbb259ca6/productimages/singlepackshot/",LEFT(A2890,FIND("-",A2890&amp;"-")-1),"_RGB.png")),""))),"{""url"":""https://us.pandora.net/on/demandware.static/-/Sites-pandora-master-catalog/default/dwbb259ca6/productimages/singlepackshot/763950C00_RGB.png"",""mode"":1}")</f>
        <v>{"url":"https://us.pandora.net/on/demandware.static/-/Sites-pandora-master-catalog/default/dwbb259ca6/productimages/singlepackshot/763950C00_RGB.png","mode":1}</v>
      </c>
      <c r="D2890" s="5" t="str">
        <f ca="1">IFERROR(ROWSDUMMYFUNCTION(IF(A2890="","",CONCATENATE("https://us.pandora.net/on/demandware.static/-/Sites-pandora-master-catalog/default/dwbb259ca6/productimages/singlepackshot/",LEFT(A2890,FIND("-",A2890&amp;"-")-1),"_RGB.png"))),"https://us.pandora.net/on/demandware.static/-/Sites-pandora-master-catalog/default/dwbb259ca6/productimages/singlepackshot/763950C00_RGB.png")</f>
        <v>https://us.pandora.net/on/demandware.static/-/Sites-pandora-master-catalog/default/dwbb259ca6/productimages/singlepackshot/763950C00_RGB.png</v>
      </c>
    </row>
    <row r="2891" spans="1:4" x14ac:dyDescent="0.25">
      <c r="A2891" s="3" t="s">
        <v>2893</v>
      </c>
      <c r="B2891" s="4">
        <v>49</v>
      </c>
      <c r="C2891" s="3" t="str">
        <f ca="1">IFERROR(ROWSDUMMYFUNCTION(IF(A2891="","",IFERROR(IMAGE(CONCATENATE("https://us.pandora.net/on/demandware.static/-/Sites-pandora-master-catalog/default/dwbb259ca6/productimages/singlepackshot/",LEFT(A2891,FIND("-",A2891&amp;"-")-1),"_RGB.png")),""))),"{""url"":""https://us.pandora.net/on/demandware.static/-/Sites-pandora-master-catalog/default/dwbb259ca6/productimages/singlepackshot/763951C00_RGB.png"",""mode"":1}")</f>
        <v>{"url":"https://us.pandora.net/on/demandware.static/-/Sites-pandora-master-catalog/default/dwbb259ca6/productimages/singlepackshot/763951C00_RGB.png","mode":1}</v>
      </c>
      <c r="D2891" s="5" t="str">
        <f ca="1">IFERROR(ROWSDUMMYFUNCTION(IF(A2891="","",CONCATENATE("https://us.pandora.net/on/demandware.static/-/Sites-pandora-master-catalog/default/dwbb259ca6/productimages/singlepackshot/",LEFT(A2891,FIND("-",A2891&amp;"-")-1),"_RGB.png"))),"https://us.pandora.net/on/demandware.static/-/Sites-pandora-master-catalog/default/dwbb259ca6/productimages/singlepackshot/763951C00_RGB.png")</f>
        <v>https://us.pandora.net/on/demandware.static/-/Sites-pandora-master-catalog/default/dwbb259ca6/productimages/singlepackshot/763951C00_RGB.png</v>
      </c>
    </row>
    <row r="2892" spans="1:4" x14ac:dyDescent="0.25">
      <c r="A2892" s="3" t="s">
        <v>2894</v>
      </c>
      <c r="B2892" s="4">
        <v>49</v>
      </c>
      <c r="C2892" s="3" t="str">
        <f ca="1">IFERROR(ROWSDUMMYFUNCTION(IF(A2892="","",IFERROR(IMAGE(CONCATENATE("https://us.pandora.net/on/demandware.static/-/Sites-pandora-master-catalog/default/dwbb259ca6/productimages/singlepackshot/",LEFT(A2892,FIND("-",A2892&amp;"-")-1),"_RGB.png")),""))),"{""url"":""https://us.pandora.net/on/demandware.static/-/Sites-pandora-master-catalog/default/dwbb259ca6/productimages/singlepackshot/763952C00_RGB.png"",""mode"":1}")</f>
        <v>{"url":"https://us.pandora.net/on/demandware.static/-/Sites-pandora-master-catalog/default/dwbb259ca6/productimages/singlepackshot/763952C00_RGB.png","mode":1}</v>
      </c>
      <c r="D2892" s="5" t="str">
        <f ca="1">IFERROR(ROWSDUMMYFUNCTION(IF(A2892="","",CONCATENATE("https://us.pandora.net/on/demandware.static/-/Sites-pandora-master-catalog/default/dwbb259ca6/productimages/singlepackshot/",LEFT(A2892,FIND("-",A2892&amp;"-")-1),"_RGB.png"))),"https://us.pandora.net/on/demandware.static/-/Sites-pandora-master-catalog/default/dwbb259ca6/productimages/singlepackshot/763952C00_RGB.png")</f>
        <v>https://us.pandora.net/on/demandware.static/-/Sites-pandora-master-catalog/default/dwbb259ca6/productimages/singlepackshot/763952C00_RGB.png</v>
      </c>
    </row>
    <row r="2893" spans="1:4" x14ac:dyDescent="0.25">
      <c r="A2893" s="3" t="s">
        <v>2895</v>
      </c>
      <c r="B2893" s="4">
        <v>49</v>
      </c>
      <c r="C2893" s="3" t="str">
        <f ca="1">IFERROR(ROWSDUMMYFUNCTION(IF(A2893="","",IFERROR(IMAGE(CONCATENATE("https://us.pandora.net/on/demandware.static/-/Sites-pandora-master-catalog/default/dwbb259ca6/productimages/singlepackshot/",LEFT(A2893,FIND("-",A2893&amp;"-")-1),"_RGB.png")),""))),"{""url"":""https://us.pandora.net/on/demandware.static/-/Sites-pandora-master-catalog/default/dwbb259ca6/productimages/singlepackshot/763953C00_RGB.png"",""mode"":1}")</f>
        <v>{"url":"https://us.pandora.net/on/demandware.static/-/Sites-pandora-master-catalog/default/dwbb259ca6/productimages/singlepackshot/763953C00_RGB.png","mode":1}</v>
      </c>
      <c r="D2893" s="5" t="str">
        <f ca="1">IFERROR(ROWSDUMMYFUNCTION(IF(A2893="","",CONCATENATE("https://us.pandora.net/on/demandware.static/-/Sites-pandora-master-catalog/default/dwbb259ca6/productimages/singlepackshot/",LEFT(A2893,FIND("-",A2893&amp;"-")-1),"_RGB.png"))),"https://us.pandora.net/on/demandware.static/-/Sites-pandora-master-catalog/default/dwbb259ca6/productimages/singlepackshot/763953C00_RGB.png")</f>
        <v>https://us.pandora.net/on/demandware.static/-/Sites-pandora-master-catalog/default/dwbb259ca6/productimages/singlepackshot/763953C00_RGB.png</v>
      </c>
    </row>
    <row r="2894" spans="1:4" x14ac:dyDescent="0.25">
      <c r="A2894" s="3" t="s">
        <v>2896</v>
      </c>
      <c r="B2894" s="4">
        <v>49</v>
      </c>
      <c r="C2894" s="3" t="str">
        <f ca="1">IFERROR(ROWSDUMMYFUNCTION(IF(A2894="","",IFERROR(IMAGE(CONCATENATE("https://us.pandora.net/on/demandware.static/-/Sites-pandora-master-catalog/default/dwbb259ca6/productimages/singlepackshot/",LEFT(A2894,FIND("-",A2894&amp;"-")-1),"_RGB.png")),""))),"{""url"":""https://us.pandora.net/on/demandware.static/-/Sites-pandora-master-catalog/default/dwbb259ca6/productimages/singlepackshot/763954C00_RGB.png"",""mode"":1}")</f>
        <v>{"url":"https://us.pandora.net/on/demandware.static/-/Sites-pandora-master-catalog/default/dwbb259ca6/productimages/singlepackshot/763954C00_RGB.png","mode":1}</v>
      </c>
      <c r="D2894" s="5" t="str">
        <f ca="1">IFERROR(ROWSDUMMYFUNCTION(IF(A2894="","",CONCATENATE("https://us.pandora.net/on/demandware.static/-/Sites-pandora-master-catalog/default/dwbb259ca6/productimages/singlepackshot/",LEFT(A2894,FIND("-",A2894&amp;"-")-1),"_RGB.png"))),"https://us.pandora.net/on/demandware.static/-/Sites-pandora-master-catalog/default/dwbb259ca6/productimages/singlepackshot/763954C00_RGB.png")</f>
        <v>https://us.pandora.net/on/demandware.static/-/Sites-pandora-master-catalog/default/dwbb259ca6/productimages/singlepackshot/763954C00_RGB.png</v>
      </c>
    </row>
    <row r="2895" spans="1:4" x14ac:dyDescent="0.25">
      <c r="A2895" s="3" t="s">
        <v>2897</v>
      </c>
      <c r="B2895" s="4">
        <v>49</v>
      </c>
      <c r="C2895" s="3" t="str">
        <f ca="1">IFERROR(ROWSDUMMYFUNCTION(IF(A2895="","",IFERROR(IMAGE(CONCATENATE("https://us.pandora.net/on/demandware.static/-/Sites-pandora-master-catalog/default/dwbb259ca6/productimages/singlepackshot/",LEFT(A2895,FIND("-",A2895&amp;"-")-1),"_RGB.png")),""))),"{""url"":""https://us.pandora.net/on/demandware.static/-/Sites-pandora-master-catalog/default/dwbb259ca6/productimages/singlepackshot/763955C00_RGB.png"",""mode"":1}")</f>
        <v>{"url":"https://us.pandora.net/on/demandware.static/-/Sites-pandora-master-catalog/default/dwbb259ca6/productimages/singlepackshot/763955C00_RGB.png","mode":1}</v>
      </c>
      <c r="D2895" s="5" t="str">
        <f ca="1">IFERROR(ROWSDUMMYFUNCTION(IF(A2895="","",CONCATENATE("https://us.pandora.net/on/demandware.static/-/Sites-pandora-master-catalog/default/dwbb259ca6/productimages/singlepackshot/",LEFT(A2895,FIND("-",A2895&amp;"-")-1),"_RGB.png"))),"https://us.pandora.net/on/demandware.static/-/Sites-pandora-master-catalog/default/dwbb259ca6/productimages/singlepackshot/763955C00_RGB.png")</f>
        <v>https://us.pandora.net/on/demandware.static/-/Sites-pandora-master-catalog/default/dwbb259ca6/productimages/singlepackshot/763955C00_RGB.png</v>
      </c>
    </row>
    <row r="2896" spans="1:4" x14ac:dyDescent="0.25">
      <c r="A2896" s="3" t="s">
        <v>2898</v>
      </c>
      <c r="B2896" s="4">
        <v>49</v>
      </c>
      <c r="C2896" s="3" t="str">
        <f ca="1">IFERROR(ROWSDUMMYFUNCTION(IF(A2896="","",IFERROR(IMAGE(CONCATENATE("https://us.pandora.net/on/demandware.static/-/Sites-pandora-master-catalog/default/dwbb259ca6/productimages/singlepackshot/",LEFT(A2896,FIND("-",A2896&amp;"-")-1),"_RGB.png")),""))),"{""url"":""https://us.pandora.net/on/demandware.static/-/Sites-pandora-master-catalog/default/dwbb259ca6/productimages/singlepackshot/763956C00_RGB.png"",""mode"":1}")</f>
        <v>{"url":"https://us.pandora.net/on/demandware.static/-/Sites-pandora-master-catalog/default/dwbb259ca6/productimages/singlepackshot/763956C00_RGB.png","mode":1}</v>
      </c>
      <c r="D2896" s="5" t="str">
        <f ca="1">IFERROR(ROWSDUMMYFUNCTION(IF(A2896="","",CONCATENATE("https://us.pandora.net/on/demandware.static/-/Sites-pandora-master-catalog/default/dwbb259ca6/productimages/singlepackshot/",LEFT(A2896,FIND("-",A2896&amp;"-")-1),"_RGB.png"))),"https://us.pandora.net/on/demandware.static/-/Sites-pandora-master-catalog/default/dwbb259ca6/productimages/singlepackshot/763956C00_RGB.png")</f>
        <v>https://us.pandora.net/on/demandware.static/-/Sites-pandora-master-catalog/default/dwbb259ca6/productimages/singlepackshot/763956C00_RGB.png</v>
      </c>
    </row>
    <row r="2897" spans="1:4" x14ac:dyDescent="0.25">
      <c r="A2897" s="3" t="s">
        <v>2899</v>
      </c>
      <c r="B2897" s="4">
        <v>49</v>
      </c>
      <c r="C2897" s="3" t="str">
        <f ca="1">IFERROR(ROWSDUMMYFUNCTION(IF(A2897="","",IFERROR(IMAGE(CONCATENATE("https://us.pandora.net/on/demandware.static/-/Sites-pandora-master-catalog/default/dwbb259ca6/productimages/singlepackshot/",LEFT(A2897,FIND("-",A2897&amp;"-")-1),"_RGB.png")),""))),"{""url"":""https://us.pandora.net/on/demandware.static/-/Sites-pandora-master-catalog/default/dwbb259ca6/productimages/singlepackshot/763957C00_RGB.png"",""mode"":1}")</f>
        <v>{"url":"https://us.pandora.net/on/demandware.static/-/Sites-pandora-master-catalog/default/dwbb259ca6/productimages/singlepackshot/763957C00_RGB.png","mode":1}</v>
      </c>
      <c r="D2897" s="5" t="str">
        <f ca="1">IFERROR(ROWSDUMMYFUNCTION(IF(A2897="","",CONCATENATE("https://us.pandora.net/on/demandware.static/-/Sites-pandora-master-catalog/default/dwbb259ca6/productimages/singlepackshot/",LEFT(A2897,FIND("-",A2897&amp;"-")-1),"_RGB.png"))),"https://us.pandora.net/on/demandware.static/-/Sites-pandora-master-catalog/default/dwbb259ca6/productimages/singlepackshot/763957C00_RGB.png")</f>
        <v>https://us.pandora.net/on/demandware.static/-/Sites-pandora-master-catalog/default/dwbb259ca6/productimages/singlepackshot/763957C00_RGB.png</v>
      </c>
    </row>
    <row r="2898" spans="1:4" x14ac:dyDescent="0.25">
      <c r="A2898" s="3" t="s">
        <v>2900</v>
      </c>
      <c r="B2898" s="4">
        <v>49</v>
      </c>
      <c r="C2898" s="3" t="str">
        <f ca="1">IFERROR(ROWSDUMMYFUNCTION(IF(A2898="","",IFERROR(IMAGE(CONCATENATE("https://us.pandora.net/on/demandware.static/-/Sites-pandora-master-catalog/default/dwbb259ca6/productimages/singlepackshot/",LEFT(A2898,FIND("-",A2898&amp;"-")-1),"_RGB.png")),""))),"{""url"":""https://us.pandora.net/on/demandware.static/-/Sites-pandora-master-catalog/default/dwbb259ca6/productimages/singlepackshot/763958C00_RGB.png"",""mode"":1}")</f>
        <v>{"url":"https://us.pandora.net/on/demandware.static/-/Sites-pandora-master-catalog/default/dwbb259ca6/productimages/singlepackshot/763958C00_RGB.png","mode":1}</v>
      </c>
      <c r="D2898" s="5" t="str">
        <f ca="1">IFERROR(ROWSDUMMYFUNCTION(IF(A2898="","",CONCATENATE("https://us.pandora.net/on/demandware.static/-/Sites-pandora-master-catalog/default/dwbb259ca6/productimages/singlepackshot/",LEFT(A2898,FIND("-",A2898&amp;"-")-1),"_RGB.png"))),"https://us.pandora.net/on/demandware.static/-/Sites-pandora-master-catalog/default/dwbb259ca6/productimages/singlepackshot/763958C00_RGB.png")</f>
        <v>https://us.pandora.net/on/demandware.static/-/Sites-pandora-master-catalog/default/dwbb259ca6/productimages/singlepackshot/763958C00_RGB.png</v>
      </c>
    </row>
    <row r="2899" spans="1:4" x14ac:dyDescent="0.25">
      <c r="A2899" s="3" t="s">
        <v>2901</v>
      </c>
      <c r="B2899" s="4">
        <v>49</v>
      </c>
      <c r="C2899" s="3" t="str">
        <f ca="1">IFERROR(ROWSDUMMYFUNCTION(IF(A2899="","",IFERROR(IMAGE(CONCATENATE("https://us.pandora.net/on/demandware.static/-/Sites-pandora-master-catalog/default/dwbb259ca6/productimages/singlepackshot/",LEFT(A2899,FIND("-",A2899&amp;"-")-1),"_RGB.png")),""))),"{""url"":""https://us.pandora.net/on/demandware.static/-/Sites-pandora-master-catalog/default/dwbb259ca6/productimages/singlepackshot/763959C00_RGB.png"",""mode"":1}")</f>
        <v>{"url":"https://us.pandora.net/on/demandware.static/-/Sites-pandora-master-catalog/default/dwbb259ca6/productimages/singlepackshot/763959C00_RGB.png","mode":1}</v>
      </c>
      <c r="D2899" s="5" t="str">
        <f ca="1">IFERROR(ROWSDUMMYFUNCTION(IF(A2899="","",CONCATENATE("https://us.pandora.net/on/demandware.static/-/Sites-pandora-master-catalog/default/dwbb259ca6/productimages/singlepackshot/",LEFT(A2899,FIND("-",A2899&amp;"-")-1),"_RGB.png"))),"https://us.pandora.net/on/demandware.static/-/Sites-pandora-master-catalog/default/dwbb259ca6/productimages/singlepackshot/763959C00_RGB.png")</f>
        <v>https://us.pandora.net/on/demandware.static/-/Sites-pandora-master-catalog/default/dwbb259ca6/productimages/singlepackshot/763959C00_RGB.png</v>
      </c>
    </row>
    <row r="2900" spans="1:4" x14ac:dyDescent="0.25">
      <c r="A2900" s="3" t="s">
        <v>2902</v>
      </c>
      <c r="B2900" s="4">
        <v>49</v>
      </c>
      <c r="C2900" s="3" t="str">
        <f ca="1">IFERROR(ROWSDUMMYFUNCTION(IF(A2900="","",IFERROR(IMAGE(CONCATENATE("https://us.pandora.net/on/demandware.static/-/Sites-pandora-master-catalog/default/dwbb259ca6/productimages/singlepackshot/",LEFT(A2900,FIND("-",A2900&amp;"-")-1),"_RGB.png")),""))),"{""url"":""https://us.pandora.net/on/demandware.static/-/Sites-pandora-master-catalog/default/dwbb259ca6/productimages/singlepackshot/763960C00_RGB.png"",""mode"":1}")</f>
        <v>{"url":"https://us.pandora.net/on/demandware.static/-/Sites-pandora-master-catalog/default/dwbb259ca6/productimages/singlepackshot/763960C00_RGB.png","mode":1}</v>
      </c>
      <c r="D2900" s="5" t="str">
        <f ca="1">IFERROR(ROWSDUMMYFUNCTION(IF(A2900="","",CONCATENATE("https://us.pandora.net/on/demandware.static/-/Sites-pandora-master-catalog/default/dwbb259ca6/productimages/singlepackshot/",LEFT(A2900,FIND("-",A2900&amp;"-")-1),"_RGB.png"))),"https://us.pandora.net/on/demandware.static/-/Sites-pandora-master-catalog/default/dwbb259ca6/productimages/singlepackshot/763960C00_RGB.png")</f>
        <v>https://us.pandora.net/on/demandware.static/-/Sites-pandora-master-catalog/default/dwbb259ca6/productimages/singlepackshot/763960C00_RGB.png</v>
      </c>
    </row>
    <row r="2901" spans="1:4" x14ac:dyDescent="0.25">
      <c r="A2901" s="3" t="s">
        <v>2903</v>
      </c>
      <c r="B2901" s="4">
        <v>49</v>
      </c>
      <c r="C2901" s="3" t="str">
        <f ca="1">IFERROR(ROWSDUMMYFUNCTION(IF(A2901="","",IFERROR(IMAGE(CONCATENATE("https://us.pandora.net/on/demandware.static/-/Sites-pandora-master-catalog/default/dwbb259ca6/productimages/singlepackshot/",LEFT(A2901,FIND("-",A2901&amp;"-")-1),"_RGB.png")),""))),"{""url"":""https://us.pandora.net/on/demandware.static/-/Sites-pandora-master-catalog/default/dwbb259ca6/productimages/singlepackshot/763961C00_RGB.png"",""mode"":1}")</f>
        <v>{"url":"https://us.pandora.net/on/demandware.static/-/Sites-pandora-master-catalog/default/dwbb259ca6/productimages/singlepackshot/763961C00_RGB.png","mode":1}</v>
      </c>
      <c r="D2901" s="5" t="str">
        <f ca="1">IFERROR(ROWSDUMMYFUNCTION(IF(A2901="","",CONCATENATE("https://us.pandora.net/on/demandware.static/-/Sites-pandora-master-catalog/default/dwbb259ca6/productimages/singlepackshot/",LEFT(A2901,FIND("-",A2901&amp;"-")-1),"_RGB.png"))),"https://us.pandora.net/on/demandware.static/-/Sites-pandora-master-catalog/default/dwbb259ca6/productimages/singlepackshot/763961C00_RGB.png")</f>
        <v>https://us.pandora.net/on/demandware.static/-/Sites-pandora-master-catalog/default/dwbb259ca6/productimages/singlepackshot/763961C00_RGB.png</v>
      </c>
    </row>
    <row r="2902" spans="1:4" x14ac:dyDescent="0.25">
      <c r="A2902" s="3" t="s">
        <v>2904</v>
      </c>
      <c r="B2902" s="4">
        <v>49</v>
      </c>
      <c r="C2902" s="3" t="str">
        <f ca="1">IFERROR(ROWSDUMMYFUNCTION(IF(A2902="","",IFERROR(IMAGE(CONCATENATE("https://us.pandora.net/on/demandware.static/-/Sites-pandora-master-catalog/default/dwbb259ca6/productimages/singlepackshot/",LEFT(A2902,FIND("-",A2902&amp;"-")-1),"_RGB.png")),""))),"{""url"":""https://us.pandora.net/on/demandware.static/-/Sites-pandora-master-catalog/default/dwbb259ca6/productimages/singlepackshot/763962C00_RGB.png"",""mode"":1}")</f>
        <v>{"url":"https://us.pandora.net/on/demandware.static/-/Sites-pandora-master-catalog/default/dwbb259ca6/productimages/singlepackshot/763962C00_RGB.png","mode":1}</v>
      </c>
      <c r="D2902" s="5" t="str">
        <f ca="1">IFERROR(ROWSDUMMYFUNCTION(IF(A2902="","",CONCATENATE("https://us.pandora.net/on/demandware.static/-/Sites-pandora-master-catalog/default/dwbb259ca6/productimages/singlepackshot/",LEFT(A2902,FIND("-",A2902&amp;"-")-1),"_RGB.png"))),"https://us.pandora.net/on/demandware.static/-/Sites-pandora-master-catalog/default/dwbb259ca6/productimages/singlepackshot/763962C00_RGB.png")</f>
        <v>https://us.pandora.net/on/demandware.static/-/Sites-pandora-master-catalog/default/dwbb259ca6/productimages/singlepackshot/763962C00_RGB.png</v>
      </c>
    </row>
    <row r="2903" spans="1:4" x14ac:dyDescent="0.25">
      <c r="A2903" s="3" t="s">
        <v>2905</v>
      </c>
      <c r="B2903" s="4">
        <v>49</v>
      </c>
      <c r="C2903" s="3" t="str">
        <f ca="1">IFERROR(ROWSDUMMYFUNCTION(IF(A2903="","",IFERROR(IMAGE(CONCATENATE("https://us.pandora.net/on/demandware.static/-/Sites-pandora-master-catalog/default/dwbb259ca6/productimages/singlepackshot/",LEFT(A2903,FIND("-",A2903&amp;"-")-1),"_RGB.png")),""))),"{""url"":""https://us.pandora.net/on/demandware.static/-/Sites-pandora-master-catalog/default/dwbb259ca6/productimages/singlepackshot/763963C00_RGB.png"",""mode"":1}")</f>
        <v>{"url":"https://us.pandora.net/on/demandware.static/-/Sites-pandora-master-catalog/default/dwbb259ca6/productimages/singlepackshot/763963C00_RGB.png","mode":1}</v>
      </c>
      <c r="D2903" s="5" t="str">
        <f ca="1">IFERROR(ROWSDUMMYFUNCTION(IF(A2903="","",CONCATENATE("https://us.pandora.net/on/demandware.static/-/Sites-pandora-master-catalog/default/dwbb259ca6/productimages/singlepackshot/",LEFT(A2903,FIND("-",A2903&amp;"-")-1),"_RGB.png"))),"https://us.pandora.net/on/demandware.static/-/Sites-pandora-master-catalog/default/dwbb259ca6/productimages/singlepackshot/763963C00_RGB.png")</f>
        <v>https://us.pandora.net/on/demandware.static/-/Sites-pandora-master-catalog/default/dwbb259ca6/productimages/singlepackshot/763963C00_RGB.png</v>
      </c>
    </row>
    <row r="2904" spans="1:4" x14ac:dyDescent="0.25">
      <c r="A2904" s="3" t="s">
        <v>2906</v>
      </c>
      <c r="B2904" s="4">
        <v>49</v>
      </c>
      <c r="C2904" s="3" t="str">
        <f ca="1">IFERROR(ROWSDUMMYFUNCTION(IF(A2904="","",IFERROR(IMAGE(CONCATENATE("https://us.pandora.net/on/demandware.static/-/Sites-pandora-master-catalog/default/dwbb259ca6/productimages/singlepackshot/",LEFT(A2904,FIND("-",A2904&amp;"-")-1),"_RGB.png")),""))),"{""url"":""https://us.pandora.net/on/demandware.static/-/Sites-pandora-master-catalog/default/dwbb259ca6/productimages/singlepackshot/763964C00_RGB.png"",""mode"":1}")</f>
        <v>{"url":"https://us.pandora.net/on/demandware.static/-/Sites-pandora-master-catalog/default/dwbb259ca6/productimages/singlepackshot/763964C00_RGB.png","mode":1}</v>
      </c>
      <c r="D2904" s="5" t="str">
        <f ca="1">IFERROR(ROWSDUMMYFUNCTION(IF(A2904="","",CONCATENATE("https://us.pandora.net/on/demandware.static/-/Sites-pandora-master-catalog/default/dwbb259ca6/productimages/singlepackshot/",LEFT(A2904,FIND("-",A2904&amp;"-")-1),"_RGB.png"))),"https://us.pandora.net/on/demandware.static/-/Sites-pandora-master-catalog/default/dwbb259ca6/productimages/singlepackshot/763964C00_RGB.png")</f>
        <v>https://us.pandora.net/on/demandware.static/-/Sites-pandora-master-catalog/default/dwbb259ca6/productimages/singlepackshot/763964C00_RGB.png</v>
      </c>
    </row>
    <row r="2905" spans="1:4" x14ac:dyDescent="0.25">
      <c r="A2905" s="3" t="s">
        <v>2907</v>
      </c>
      <c r="B2905" s="4">
        <v>49</v>
      </c>
      <c r="C2905" s="3" t="str">
        <f ca="1">IFERROR(ROWSDUMMYFUNCTION(IF(A2905="","",IFERROR(IMAGE(CONCATENATE("https://us.pandora.net/on/demandware.static/-/Sites-pandora-master-catalog/default/dwbb259ca6/productimages/singlepackshot/",LEFT(A2905,FIND("-",A2905&amp;"-")-1),"_RGB.png")),""))),"{""url"":""https://us.pandora.net/on/demandware.static/-/Sites-pandora-master-catalog/default/dwbb259ca6/productimages/singlepackshot/763965C00_RGB.png"",""mode"":1}")</f>
        <v>{"url":"https://us.pandora.net/on/demandware.static/-/Sites-pandora-master-catalog/default/dwbb259ca6/productimages/singlepackshot/763965C00_RGB.png","mode":1}</v>
      </c>
      <c r="D2905" s="5" t="str">
        <f ca="1">IFERROR(ROWSDUMMYFUNCTION(IF(A2905="","",CONCATENATE("https://us.pandora.net/on/demandware.static/-/Sites-pandora-master-catalog/default/dwbb259ca6/productimages/singlepackshot/",LEFT(A2905,FIND("-",A2905&amp;"-")-1),"_RGB.png"))),"https://us.pandora.net/on/demandware.static/-/Sites-pandora-master-catalog/default/dwbb259ca6/productimages/singlepackshot/763965C00_RGB.png")</f>
        <v>https://us.pandora.net/on/demandware.static/-/Sites-pandora-master-catalog/default/dwbb259ca6/productimages/singlepackshot/763965C00_RGB.png</v>
      </c>
    </row>
    <row r="2906" spans="1:4" x14ac:dyDescent="0.25">
      <c r="A2906" s="3" t="s">
        <v>2908</v>
      </c>
      <c r="B2906" s="4">
        <v>49</v>
      </c>
      <c r="C2906" s="3" t="str">
        <f ca="1">IFERROR(ROWSDUMMYFUNCTION(IF(A2906="","",IFERROR(IMAGE(CONCATENATE("https://us.pandora.net/on/demandware.static/-/Sites-pandora-master-catalog/default/dwbb259ca6/productimages/singlepackshot/",LEFT(A2906,FIND("-",A2906&amp;"-")-1),"_RGB.png")),""))),"{""url"":""https://us.pandora.net/on/demandware.static/-/Sites-pandora-master-catalog/default/dwbb259ca6/productimages/singlepackshot/763966C00_RGB.png"",""mode"":1}")</f>
        <v>{"url":"https://us.pandora.net/on/demandware.static/-/Sites-pandora-master-catalog/default/dwbb259ca6/productimages/singlepackshot/763966C00_RGB.png","mode":1}</v>
      </c>
      <c r="D2906" s="5" t="str">
        <f ca="1">IFERROR(ROWSDUMMYFUNCTION(IF(A2906="","",CONCATENATE("https://us.pandora.net/on/demandware.static/-/Sites-pandora-master-catalog/default/dwbb259ca6/productimages/singlepackshot/",LEFT(A2906,FIND("-",A2906&amp;"-")-1),"_RGB.png"))),"https://us.pandora.net/on/demandware.static/-/Sites-pandora-master-catalog/default/dwbb259ca6/productimages/singlepackshot/763966C00_RGB.png")</f>
        <v>https://us.pandora.net/on/demandware.static/-/Sites-pandora-master-catalog/default/dwbb259ca6/productimages/singlepackshot/763966C00_RGB.png</v>
      </c>
    </row>
    <row r="2907" spans="1:4" x14ac:dyDescent="0.25">
      <c r="A2907" s="3" t="s">
        <v>2909</v>
      </c>
      <c r="B2907" s="4">
        <v>49</v>
      </c>
      <c r="C2907" s="3" t="str">
        <f ca="1">IFERROR(ROWSDUMMYFUNCTION(IF(A2907="","",IFERROR(IMAGE(CONCATENATE("https://us.pandora.net/on/demandware.static/-/Sites-pandora-master-catalog/default/dwbb259ca6/productimages/singlepackshot/",LEFT(A2907,FIND("-",A2907&amp;"-")-1),"_RGB.png")),""))),"{""url"":""https://us.pandora.net/on/demandware.static/-/Sites-pandora-master-catalog/default/dwbb259ca6/productimages/singlepackshot/763967C00_RGB.png"",""mode"":1}")</f>
        <v>{"url":"https://us.pandora.net/on/demandware.static/-/Sites-pandora-master-catalog/default/dwbb259ca6/productimages/singlepackshot/763967C00_RGB.png","mode":1}</v>
      </c>
      <c r="D2907" s="5" t="str">
        <f ca="1">IFERROR(ROWSDUMMYFUNCTION(IF(A2907="","",CONCATENATE("https://us.pandora.net/on/demandware.static/-/Sites-pandora-master-catalog/default/dwbb259ca6/productimages/singlepackshot/",LEFT(A2907,FIND("-",A2907&amp;"-")-1),"_RGB.png"))),"https://us.pandora.net/on/demandware.static/-/Sites-pandora-master-catalog/default/dwbb259ca6/productimages/singlepackshot/763967C00_RGB.png")</f>
        <v>https://us.pandora.net/on/demandware.static/-/Sites-pandora-master-catalog/default/dwbb259ca6/productimages/singlepackshot/763967C00_RGB.png</v>
      </c>
    </row>
    <row r="2908" spans="1:4" x14ac:dyDescent="0.25">
      <c r="A2908" s="3" t="s">
        <v>2910</v>
      </c>
      <c r="B2908" s="4">
        <v>49</v>
      </c>
      <c r="C2908" s="3" t="str">
        <f ca="1">IFERROR(ROWSDUMMYFUNCTION(IF(A2908="","",IFERROR(IMAGE(CONCATENATE("https://us.pandora.net/on/demandware.static/-/Sites-pandora-master-catalog/default/dwbb259ca6/productimages/singlepackshot/",LEFT(A2908,FIND("-",A2908&amp;"-")-1),"_RGB.png")),""))),"{""url"":""https://us.pandora.net/on/demandware.static/-/Sites-pandora-master-catalog/default/dwbb259ca6/productimages/singlepackshot/763968C00_RGB.png"",""mode"":1}")</f>
        <v>{"url":"https://us.pandora.net/on/demandware.static/-/Sites-pandora-master-catalog/default/dwbb259ca6/productimages/singlepackshot/763968C00_RGB.png","mode":1}</v>
      </c>
      <c r="D2908" s="5" t="str">
        <f ca="1">IFERROR(ROWSDUMMYFUNCTION(IF(A2908="","",CONCATENATE("https://us.pandora.net/on/demandware.static/-/Sites-pandora-master-catalog/default/dwbb259ca6/productimages/singlepackshot/",LEFT(A2908,FIND("-",A2908&amp;"-")-1),"_RGB.png"))),"https://us.pandora.net/on/demandware.static/-/Sites-pandora-master-catalog/default/dwbb259ca6/productimages/singlepackshot/763968C00_RGB.png")</f>
        <v>https://us.pandora.net/on/demandware.static/-/Sites-pandora-master-catalog/default/dwbb259ca6/productimages/singlepackshot/763968C00_RGB.png</v>
      </c>
    </row>
    <row r="2909" spans="1:4" x14ac:dyDescent="0.25">
      <c r="A2909" s="3" t="s">
        <v>2911</v>
      </c>
      <c r="B2909" s="4">
        <v>49</v>
      </c>
      <c r="C2909" s="3" t="str">
        <f ca="1">IFERROR(ROWSDUMMYFUNCTION(IF(A2909="","",IFERROR(IMAGE(CONCATENATE("https://us.pandora.net/on/demandware.static/-/Sites-pandora-master-catalog/default/dwbb259ca6/productimages/singlepackshot/",LEFT(A2909,FIND("-",A2909&amp;"-")-1),"_RGB.png")),""))),"{""url"":""https://us.pandora.net/on/demandware.static/-/Sites-pandora-master-catalog/default/dwbb259ca6/productimages/singlepackshot/763969C00_RGB.png"",""mode"":1}")</f>
        <v>{"url":"https://us.pandora.net/on/demandware.static/-/Sites-pandora-master-catalog/default/dwbb259ca6/productimages/singlepackshot/763969C00_RGB.png","mode":1}</v>
      </c>
      <c r="D2909" s="5" t="str">
        <f ca="1">IFERROR(ROWSDUMMYFUNCTION(IF(A2909="","",CONCATENATE("https://us.pandora.net/on/demandware.static/-/Sites-pandora-master-catalog/default/dwbb259ca6/productimages/singlepackshot/",LEFT(A2909,FIND("-",A2909&amp;"-")-1),"_RGB.png"))),"https://us.pandora.net/on/demandware.static/-/Sites-pandora-master-catalog/default/dwbb259ca6/productimages/singlepackshot/763969C00_RGB.png")</f>
        <v>https://us.pandora.net/on/demandware.static/-/Sites-pandora-master-catalog/default/dwbb259ca6/productimages/singlepackshot/763969C00_RGB.png</v>
      </c>
    </row>
    <row r="2910" spans="1:4" x14ac:dyDescent="0.25">
      <c r="A2910" s="3" t="s">
        <v>2912</v>
      </c>
      <c r="B2910" s="4">
        <v>49</v>
      </c>
      <c r="C2910" s="3" t="str">
        <f ca="1">IFERROR(ROWSDUMMYFUNCTION(IF(A2910="","",IFERROR(IMAGE(CONCATENATE("https://us.pandora.net/on/demandware.static/-/Sites-pandora-master-catalog/default/dwbb259ca6/productimages/singlepackshot/",LEFT(A2910,FIND("-",A2910&amp;"-")-1),"_RGB.png")),""))),"{""url"":""https://us.pandora.net/on/demandware.static/-/Sites-pandora-master-catalog/default/dwbb259ca6/productimages/singlepackshot/763970C00_RGB.png"",""mode"":1}")</f>
        <v>{"url":"https://us.pandora.net/on/demandware.static/-/Sites-pandora-master-catalog/default/dwbb259ca6/productimages/singlepackshot/763970C00_RGB.png","mode":1}</v>
      </c>
      <c r="D2910" s="5" t="str">
        <f ca="1">IFERROR(ROWSDUMMYFUNCTION(IF(A2910="","",CONCATENATE("https://us.pandora.net/on/demandware.static/-/Sites-pandora-master-catalog/default/dwbb259ca6/productimages/singlepackshot/",LEFT(A2910,FIND("-",A2910&amp;"-")-1),"_RGB.png"))),"https://us.pandora.net/on/demandware.static/-/Sites-pandora-master-catalog/default/dwbb259ca6/productimages/singlepackshot/763970C00_RGB.png")</f>
        <v>https://us.pandora.net/on/demandware.static/-/Sites-pandora-master-catalog/default/dwbb259ca6/productimages/singlepackshot/763970C00_RGB.png</v>
      </c>
    </row>
    <row r="2911" spans="1:4" x14ac:dyDescent="0.25">
      <c r="A2911" s="3" t="s">
        <v>2913</v>
      </c>
      <c r="B2911" s="4">
        <v>49</v>
      </c>
      <c r="C2911" s="3" t="str">
        <f ca="1">IFERROR(ROWSDUMMYFUNCTION(IF(A2911="","",IFERROR(IMAGE(CONCATENATE("https://us.pandora.net/on/demandware.static/-/Sites-pandora-master-catalog/default/dwbb259ca6/productimages/singlepackshot/",LEFT(A2911,FIND("-",A2911&amp;"-")-1),"_RGB.png")),""))),"{""url"":""https://us.pandora.net/on/demandware.static/-/Sites-pandora-master-catalog/default/dwbb259ca6/productimages/singlepackshot/763971C00_RGB.png"",""mode"":1}")</f>
        <v>{"url":"https://us.pandora.net/on/demandware.static/-/Sites-pandora-master-catalog/default/dwbb259ca6/productimages/singlepackshot/763971C00_RGB.png","mode":1}</v>
      </c>
      <c r="D2911" s="5" t="str">
        <f ca="1">IFERROR(ROWSDUMMYFUNCTION(IF(A2911="","",CONCATENATE("https://us.pandora.net/on/demandware.static/-/Sites-pandora-master-catalog/default/dwbb259ca6/productimages/singlepackshot/",LEFT(A2911,FIND("-",A2911&amp;"-")-1),"_RGB.png"))),"https://us.pandora.net/on/demandware.static/-/Sites-pandora-master-catalog/default/dwbb259ca6/productimages/singlepackshot/763971C00_RGB.png")</f>
        <v>https://us.pandora.net/on/demandware.static/-/Sites-pandora-master-catalog/default/dwbb259ca6/productimages/singlepackshot/763971C00_RGB.png</v>
      </c>
    </row>
    <row r="2912" spans="1:4" x14ac:dyDescent="0.25">
      <c r="A2912" s="3" t="s">
        <v>2914</v>
      </c>
      <c r="B2912" s="4">
        <v>49</v>
      </c>
      <c r="C2912" s="3" t="str">
        <f ca="1">IFERROR(ROWSDUMMYFUNCTION(IF(A2912="","",IFERROR(IMAGE(CONCATENATE("https://us.pandora.net/on/demandware.static/-/Sites-pandora-master-catalog/default/dwbb259ca6/productimages/singlepackshot/",LEFT(A2912,FIND("-",A2912&amp;"-")-1),"_RGB.png")),""))),"{""url"":""https://us.pandora.net/on/demandware.static/-/Sites-pandora-master-catalog/default/dwbb259ca6/productimages/singlepackshot/763972C00_RGB.png"",""mode"":1}")</f>
        <v>{"url":"https://us.pandora.net/on/demandware.static/-/Sites-pandora-master-catalog/default/dwbb259ca6/productimages/singlepackshot/763972C00_RGB.png","mode":1}</v>
      </c>
      <c r="D2912" s="5" t="str">
        <f ca="1">IFERROR(ROWSDUMMYFUNCTION(IF(A2912="","",CONCATENATE("https://us.pandora.net/on/demandware.static/-/Sites-pandora-master-catalog/default/dwbb259ca6/productimages/singlepackshot/",LEFT(A2912,FIND("-",A2912&amp;"-")-1),"_RGB.png"))),"https://us.pandora.net/on/demandware.static/-/Sites-pandora-master-catalog/default/dwbb259ca6/productimages/singlepackshot/763972C00_RGB.png")</f>
        <v>https://us.pandora.net/on/demandware.static/-/Sites-pandora-master-catalog/default/dwbb259ca6/productimages/singlepackshot/763972C00_RGB.png</v>
      </c>
    </row>
    <row r="2913" spans="1:4" x14ac:dyDescent="0.25">
      <c r="A2913" s="3" t="s">
        <v>2915</v>
      </c>
      <c r="B2913" s="4">
        <v>59</v>
      </c>
      <c r="C2913" s="3" t="str">
        <f ca="1">IFERROR(ROWSDUMMYFUNCTION(IF(A2913="","",IFERROR(IMAGE(CONCATENATE("https://us.pandora.net/on/demandware.static/-/Sites-pandora-master-catalog/default/dwbb259ca6/productimages/singlepackshot/",LEFT(A2913,FIND("-",A2913&amp;"-")-1),"_RGB.png")),""))),"{""url"":""https://us.pandora.net/on/demandware.static/-/Sites-pandora-master-catalog/default/dwbb259ca6/productimages/singlepackshot/763974C01_RGB.png"",""mode"":1}")</f>
        <v>{"url":"https://us.pandora.net/on/demandware.static/-/Sites-pandora-master-catalog/default/dwbb259ca6/productimages/singlepackshot/763974C01_RGB.png","mode":1}</v>
      </c>
      <c r="D2913" s="5" t="str">
        <f ca="1">IFERROR(ROWSDUMMYFUNCTION(IF(A2913="","",CONCATENATE("https://us.pandora.net/on/demandware.static/-/Sites-pandora-master-catalog/default/dwbb259ca6/productimages/singlepackshot/",LEFT(A2913,FIND("-",A2913&amp;"-")-1),"_RGB.png"))),"https://us.pandora.net/on/demandware.static/-/Sites-pandora-master-catalog/default/dwbb259ca6/productimages/singlepackshot/763974C01_RGB.png")</f>
        <v>https://us.pandora.net/on/demandware.static/-/Sites-pandora-master-catalog/default/dwbb259ca6/productimages/singlepackshot/763974C01_RGB.png</v>
      </c>
    </row>
    <row r="2914" spans="1:4" x14ac:dyDescent="0.25">
      <c r="A2914" s="3" t="s">
        <v>2916</v>
      </c>
      <c r="B2914" s="4">
        <v>99</v>
      </c>
      <c r="C2914" s="3" t="str">
        <f ca="1">IFERROR(ROWSDUMMYFUNCTION(IF(A2914="","",IFERROR(IMAGE(CONCATENATE("https://us.pandora.net/on/demandware.static/-/Sites-pandora-master-catalog/default/dwbb259ca6/productimages/singlepackshot/",LEFT(A2914,FIND("-",A2914&amp;"-")-1),"_RGB.png")),""))),"{""url"":""https://us.pandora.net/on/demandware.static/-/Sites-pandora-master-catalog/default/dwbb259ca6/productimages/singlepackshot/763985C01_RGB.png"",""mode"":1}")</f>
        <v>{"url":"https://us.pandora.net/on/demandware.static/-/Sites-pandora-master-catalog/default/dwbb259ca6/productimages/singlepackshot/763985C01_RGB.png","mode":1}</v>
      </c>
      <c r="D2914" s="5" t="str">
        <f ca="1">IFERROR(ROWSDUMMYFUNCTION(IF(A2914="","",CONCATENATE("https://us.pandora.net/on/demandware.static/-/Sites-pandora-master-catalog/default/dwbb259ca6/productimages/singlepackshot/",LEFT(A2914,FIND("-",A2914&amp;"-")-1),"_RGB.png"))),"https://us.pandora.net/on/demandware.static/-/Sites-pandora-master-catalog/default/dwbb259ca6/productimages/singlepackshot/763985C01_RGB.png")</f>
        <v>https://us.pandora.net/on/demandware.static/-/Sites-pandora-master-catalog/default/dwbb259ca6/productimages/singlepackshot/763985C01_RGB.png</v>
      </c>
    </row>
    <row r="2915" spans="1:4" x14ac:dyDescent="0.25">
      <c r="A2915" s="3" t="s">
        <v>2917</v>
      </c>
      <c r="B2915" s="4">
        <v>29</v>
      </c>
      <c r="C2915" s="3" t="str">
        <f ca="1">IFERROR(ROWSDUMMYFUNCTION(IF(A2915="","",IFERROR(IMAGE(CONCATENATE("https://us.pandora.net/on/demandware.static/-/Sites-pandora-master-catalog/default/dwbb259ca6/productimages/singlepackshot/",LEFT(A2915,FIND("-",A2915&amp;"-")-1),"_RGB.png")),""))),"{""url"":""https://us.pandora.net/on/demandware.static/-/Sites-pandora-master-catalog/default/dwbb259ca6/productimages/singlepackshot/763998C00_RGB.png"",""mode"":1}")</f>
        <v>{"url":"https://us.pandora.net/on/demandware.static/-/Sites-pandora-master-catalog/default/dwbb259ca6/productimages/singlepackshot/763998C00_RGB.png","mode":1}</v>
      </c>
      <c r="D2915" s="5" t="str">
        <f ca="1">IFERROR(ROWSDUMMYFUNCTION(IF(A2915="","",CONCATENATE("https://us.pandora.net/on/demandware.static/-/Sites-pandora-master-catalog/default/dwbb259ca6/productimages/singlepackshot/",LEFT(A2915,FIND("-",A2915&amp;"-")-1),"_RGB.png"))),"https://us.pandora.net/on/demandware.static/-/Sites-pandora-master-catalog/default/dwbb259ca6/productimages/singlepackshot/763998C00_RGB.png")</f>
        <v>https://us.pandora.net/on/demandware.static/-/Sites-pandora-master-catalog/default/dwbb259ca6/productimages/singlepackshot/763998C00_RGB.png</v>
      </c>
    </row>
    <row r="2916" spans="1:4" x14ac:dyDescent="0.25">
      <c r="A2916" s="3" t="s">
        <v>2918</v>
      </c>
      <c r="B2916" s="4">
        <v>39</v>
      </c>
      <c r="C2916" s="3" t="str">
        <f ca="1">IFERROR(ROWSDUMMYFUNCTION(IF(A2916="","",IFERROR(IMAGE(CONCATENATE("https://us.pandora.net/on/demandware.static/-/Sites-pandora-master-catalog/default/dwbb259ca6/productimages/singlepackshot/",LEFT(A2916,FIND("-",A2916&amp;"-")-1),"_RGB.png")),""))),"{""url"":""https://us.pandora.net/on/demandware.static/-/Sites-pandora-master-catalog/default/dwbb259ca6/productimages/singlepackshot/764000C00_RGB.png"",""mode"":1}")</f>
        <v>{"url":"https://us.pandora.net/on/demandware.static/-/Sites-pandora-master-catalog/default/dwbb259ca6/productimages/singlepackshot/764000C00_RGB.png","mode":1}</v>
      </c>
      <c r="D2916" s="5" t="str">
        <f ca="1">IFERROR(ROWSDUMMYFUNCTION(IF(A2916="","",CONCATENATE("https://us.pandora.net/on/demandware.static/-/Sites-pandora-master-catalog/default/dwbb259ca6/productimages/singlepackshot/",LEFT(A2916,FIND("-",A2916&amp;"-")-1),"_RGB.png"))),"https://us.pandora.net/on/demandware.static/-/Sites-pandora-master-catalog/default/dwbb259ca6/productimages/singlepackshot/764000C00_RGB.png")</f>
        <v>https://us.pandora.net/on/demandware.static/-/Sites-pandora-master-catalog/default/dwbb259ca6/productimages/singlepackshot/764000C00_RGB.png</v>
      </c>
    </row>
    <row r="2917" spans="1:4" x14ac:dyDescent="0.25">
      <c r="A2917" s="3" t="s">
        <v>2919</v>
      </c>
      <c r="B2917" s="4">
        <v>79</v>
      </c>
      <c r="C2917" s="3" t="str">
        <f ca="1">IFERROR(ROWSDUMMYFUNCTION(IF(A2917="","",IFERROR(IMAGE(CONCATENATE("https://us.pandora.net/on/demandware.static/-/Sites-pandora-master-catalog/default/dwbb259ca6/productimages/singlepackshot/",LEFT(A2917,FIND("-",A2917&amp;"-")-1),"_RGB.png")),""))),"{""url"":""https://us.pandora.net/on/demandware.static/-/Sites-pandora-master-catalog/default/dwbb259ca6/productimages/singlepackshot/764018C01_RGB.png"",""mode"":1}")</f>
        <v>{"url":"https://us.pandora.net/on/demandware.static/-/Sites-pandora-master-catalog/default/dwbb259ca6/productimages/singlepackshot/764018C01_RGB.png","mode":1}</v>
      </c>
      <c r="D2917" s="5" t="str">
        <f ca="1">IFERROR(ROWSDUMMYFUNCTION(IF(A2917="","",CONCATENATE("https://us.pandora.net/on/demandware.static/-/Sites-pandora-master-catalog/default/dwbb259ca6/productimages/singlepackshot/",LEFT(A2917,FIND("-",A2917&amp;"-")-1),"_RGB.png"))),"https://us.pandora.net/on/demandware.static/-/Sites-pandora-master-catalog/default/dwbb259ca6/productimages/singlepackshot/764018C01_RGB.png")</f>
        <v>https://us.pandora.net/on/demandware.static/-/Sites-pandora-master-catalog/default/dwbb259ca6/productimages/singlepackshot/764018C01_RGB.png</v>
      </c>
    </row>
    <row r="2918" spans="1:4" x14ac:dyDescent="0.25">
      <c r="A2918" s="3" t="s">
        <v>2920</v>
      </c>
      <c r="B2918" s="4">
        <v>99</v>
      </c>
      <c r="C2918" s="3" t="str">
        <f ca="1">IFERROR(ROWSDUMMYFUNCTION(IF(A2918="","",IFERROR(IMAGE(CONCATENATE("https://us.pandora.net/on/demandware.static/-/Sites-pandora-master-catalog/default/dwbb259ca6/productimages/singlepackshot/",LEFT(A2918,FIND("-",A2918&amp;"-")-1),"_RGB.png")),""))),"{""url"":""https://us.pandora.net/on/demandware.static/-/Sites-pandora-master-catalog/default/dwbb259ca6/productimages/singlepackshot/764020C01_RGB.png"",""mode"":1}")</f>
        <v>{"url":"https://us.pandora.net/on/demandware.static/-/Sites-pandora-master-catalog/default/dwbb259ca6/productimages/singlepackshot/764020C01_RGB.png","mode":1}</v>
      </c>
      <c r="D2918" s="5" t="str">
        <f ca="1">IFERROR(ROWSDUMMYFUNCTION(IF(A2918="","",CONCATENATE("https://us.pandora.net/on/demandware.static/-/Sites-pandora-master-catalog/default/dwbb259ca6/productimages/singlepackshot/",LEFT(A2918,FIND("-",A2918&amp;"-")-1),"_RGB.png"))),"https://us.pandora.net/on/demandware.static/-/Sites-pandora-master-catalog/default/dwbb259ca6/productimages/singlepackshot/764020C01_RGB.png")</f>
        <v>https://us.pandora.net/on/demandware.static/-/Sites-pandora-master-catalog/default/dwbb259ca6/productimages/singlepackshot/764020C01_RGB.png</v>
      </c>
    </row>
    <row r="2919" spans="1:4" x14ac:dyDescent="0.25">
      <c r="A2919" s="3" t="s">
        <v>2921</v>
      </c>
      <c r="B2919" s="4">
        <v>99</v>
      </c>
      <c r="C2919" s="3" t="str">
        <f ca="1">IFERROR(ROWSDUMMYFUNCTION(IF(A2919="","",IFERROR(IMAGE(CONCATENATE("https://us.pandora.net/on/demandware.static/-/Sites-pandora-master-catalog/default/dwbb259ca6/productimages/singlepackshot/",LEFT(A2919,FIND("-",A2919&amp;"-")-1),"_RGB.png")),""))),"{""url"":""https://us.pandora.net/on/demandware.static/-/Sites-pandora-master-catalog/default/dwbb259ca6/productimages/singlepackshot/764023C01_RGB.png"",""mode"":1}")</f>
        <v>{"url":"https://us.pandora.net/on/demandware.static/-/Sites-pandora-master-catalog/default/dwbb259ca6/productimages/singlepackshot/764023C01_RGB.png","mode":1}</v>
      </c>
      <c r="D2919" s="5" t="str">
        <f ca="1">IFERROR(ROWSDUMMYFUNCTION(IF(A2919="","",CONCATENATE("https://us.pandora.net/on/demandware.static/-/Sites-pandora-master-catalog/default/dwbb259ca6/productimages/singlepackshot/",LEFT(A2919,FIND("-",A2919&amp;"-")-1),"_RGB.png"))),"https://us.pandora.net/on/demandware.static/-/Sites-pandora-master-catalog/default/dwbb259ca6/productimages/singlepackshot/764023C01_RGB.png")</f>
        <v>https://us.pandora.net/on/demandware.static/-/Sites-pandora-master-catalog/default/dwbb259ca6/productimages/singlepackshot/764023C01_RGB.png</v>
      </c>
    </row>
    <row r="2920" spans="1:4" x14ac:dyDescent="0.25">
      <c r="A2920" s="3" t="s">
        <v>2922</v>
      </c>
      <c r="B2920" s="4">
        <v>39</v>
      </c>
      <c r="C2920" s="3" t="str">
        <f ca="1">IFERROR(ROWSDUMMYFUNCTION(IF(A2920="","",IFERROR(IMAGE(CONCATENATE("https://us.pandora.net/on/demandware.static/-/Sites-pandora-master-catalog/default/dwbb259ca6/productimages/singlepackshot/",LEFT(A2920,FIND("-",A2920&amp;"-")-1),"_RGB.png")),""))),"{""url"":""https://us.pandora.net/on/demandware.static/-/Sites-pandora-master-catalog/default/dwbb259ca6/productimages/singlepackshot/764042C00_RGB.png"",""mode"":1}")</f>
        <v>{"url":"https://us.pandora.net/on/demandware.static/-/Sites-pandora-master-catalog/default/dwbb259ca6/productimages/singlepackshot/764042C00_RGB.png","mode":1}</v>
      </c>
      <c r="D2920" s="5" t="str">
        <f ca="1">IFERROR(ROWSDUMMYFUNCTION(IF(A2920="","",CONCATENATE("https://us.pandora.net/on/demandware.static/-/Sites-pandora-master-catalog/default/dwbb259ca6/productimages/singlepackshot/",LEFT(A2920,FIND("-",A2920&amp;"-")-1),"_RGB.png"))),"https://us.pandora.net/on/demandware.static/-/Sites-pandora-master-catalog/default/dwbb259ca6/productimages/singlepackshot/764042C00_RGB.png")</f>
        <v>https://us.pandora.net/on/demandware.static/-/Sites-pandora-master-catalog/default/dwbb259ca6/productimages/singlepackshot/764042C00_RGB.png</v>
      </c>
    </row>
    <row r="2921" spans="1:4" x14ac:dyDescent="0.25">
      <c r="A2921" s="3" t="s">
        <v>2923</v>
      </c>
      <c r="B2921" s="4">
        <v>39</v>
      </c>
      <c r="C2921" s="3" t="str">
        <f ca="1">IFERROR(ROWSDUMMYFUNCTION(IF(A2921="","",IFERROR(IMAGE(CONCATENATE("https://us.pandora.net/on/demandware.static/-/Sites-pandora-master-catalog/default/dwbb259ca6/productimages/singlepackshot/",LEFT(A2921,FIND("-",A2921&amp;"-")-1),"_RGB.png")),""))),"{""url"":""https://us.pandora.net/on/demandware.static/-/Sites-pandora-master-catalog/default/dwbb259ca6/productimages/singlepackshot/764045C00_RGB.png"",""mode"":1}")</f>
        <v>{"url":"https://us.pandora.net/on/demandware.static/-/Sites-pandora-master-catalog/default/dwbb259ca6/productimages/singlepackshot/764045C00_RGB.png","mode":1}</v>
      </c>
      <c r="D2921" s="5" t="str">
        <f ca="1">IFERROR(ROWSDUMMYFUNCTION(IF(A2921="","",CONCATENATE("https://us.pandora.net/on/demandware.static/-/Sites-pandora-master-catalog/default/dwbb259ca6/productimages/singlepackshot/",LEFT(A2921,FIND("-",A2921&amp;"-")-1),"_RGB.png"))),"https://us.pandora.net/on/demandware.static/-/Sites-pandora-master-catalog/default/dwbb259ca6/productimages/singlepackshot/764045C00_RGB.png")</f>
        <v>https://us.pandora.net/on/demandware.static/-/Sites-pandora-master-catalog/default/dwbb259ca6/productimages/singlepackshot/764045C00_RGB.png</v>
      </c>
    </row>
    <row r="2922" spans="1:4" x14ac:dyDescent="0.25">
      <c r="A2922" s="3" t="s">
        <v>2924</v>
      </c>
      <c r="B2922" s="4">
        <v>39</v>
      </c>
      <c r="C2922" s="3" t="str">
        <f ca="1">IFERROR(ROWSDUMMYFUNCTION(IF(A2922="","",IFERROR(IMAGE(CONCATENATE("https://us.pandora.net/on/demandware.static/-/Sites-pandora-master-catalog/default/dwbb259ca6/productimages/singlepackshot/",LEFT(A2922,FIND("-",A2922&amp;"-")-1),"_RGB.png")),""))),"{""url"":""https://us.pandora.net/on/demandware.static/-/Sites-pandora-master-catalog/default/dwbb259ca6/productimages/singlepackshot/764046C00_RGB.png"",""mode"":1}")</f>
        <v>{"url":"https://us.pandora.net/on/demandware.static/-/Sites-pandora-master-catalog/default/dwbb259ca6/productimages/singlepackshot/764046C00_RGB.png","mode":1}</v>
      </c>
      <c r="D2922" s="5" t="str">
        <f ca="1">IFERROR(ROWSDUMMYFUNCTION(IF(A2922="","",CONCATENATE("https://us.pandora.net/on/demandware.static/-/Sites-pandora-master-catalog/default/dwbb259ca6/productimages/singlepackshot/",LEFT(A2922,FIND("-",A2922&amp;"-")-1),"_RGB.png"))),"https://us.pandora.net/on/demandware.static/-/Sites-pandora-master-catalog/default/dwbb259ca6/productimages/singlepackshot/764046C00_RGB.png")</f>
        <v>https://us.pandora.net/on/demandware.static/-/Sites-pandora-master-catalog/default/dwbb259ca6/productimages/singlepackshot/764046C00_RGB.png</v>
      </c>
    </row>
    <row r="2923" spans="1:4" x14ac:dyDescent="0.25">
      <c r="A2923" s="3" t="s">
        <v>2925</v>
      </c>
      <c r="B2923" s="4">
        <v>39</v>
      </c>
      <c r="C2923" s="3" t="str">
        <f ca="1">IFERROR(ROWSDUMMYFUNCTION(IF(A2923="","",IFERROR(IMAGE(CONCATENATE("https://us.pandora.net/on/demandware.static/-/Sites-pandora-master-catalog/default/dwbb259ca6/productimages/singlepackshot/",LEFT(A2923,FIND("-",A2923&amp;"-")-1),"_RGB.png")),""))),"{""url"":""https://us.pandora.net/on/demandware.static/-/Sites-pandora-master-catalog/default/dwbb259ca6/productimages/singlepackshot/764047C00_RGB.png"",""mode"":1}")</f>
        <v>{"url":"https://us.pandora.net/on/demandware.static/-/Sites-pandora-master-catalog/default/dwbb259ca6/productimages/singlepackshot/764047C00_RGB.png","mode":1}</v>
      </c>
      <c r="D2923" s="5" t="str">
        <f ca="1">IFERROR(ROWSDUMMYFUNCTION(IF(A2923="","",CONCATENATE("https://us.pandora.net/on/demandware.static/-/Sites-pandora-master-catalog/default/dwbb259ca6/productimages/singlepackshot/",LEFT(A2923,FIND("-",A2923&amp;"-")-1),"_RGB.png"))),"https://us.pandora.net/on/demandware.static/-/Sites-pandora-master-catalog/default/dwbb259ca6/productimages/singlepackshot/764047C00_RGB.png")</f>
        <v>https://us.pandora.net/on/demandware.static/-/Sites-pandora-master-catalog/default/dwbb259ca6/productimages/singlepackshot/764047C00_RGB.png</v>
      </c>
    </row>
    <row r="2924" spans="1:4" x14ac:dyDescent="0.25">
      <c r="A2924" s="3" t="s">
        <v>2926</v>
      </c>
      <c r="B2924" s="4">
        <v>39</v>
      </c>
      <c r="C2924" s="3" t="str">
        <f ca="1">IFERROR(ROWSDUMMYFUNCTION(IF(A2924="","",IFERROR(IMAGE(CONCATENATE("https://us.pandora.net/on/demandware.static/-/Sites-pandora-master-catalog/default/dwbb259ca6/productimages/singlepackshot/",LEFT(A2924,FIND("-",A2924&amp;"-")-1),"_RGB.png")),""))),"{""url"":""https://us.pandora.net/on/demandware.static/-/Sites-pandora-master-catalog/default/dwbb259ca6/productimages/singlepackshot/764048C00_RGB.png"",""mode"":1}")</f>
        <v>{"url":"https://us.pandora.net/on/demandware.static/-/Sites-pandora-master-catalog/default/dwbb259ca6/productimages/singlepackshot/764048C00_RGB.png","mode":1}</v>
      </c>
      <c r="D2924" s="5" t="str">
        <f ca="1">IFERROR(ROWSDUMMYFUNCTION(IF(A2924="","",CONCATENATE("https://us.pandora.net/on/demandware.static/-/Sites-pandora-master-catalog/default/dwbb259ca6/productimages/singlepackshot/",LEFT(A2924,FIND("-",A2924&amp;"-")-1),"_RGB.png"))),"https://us.pandora.net/on/demandware.static/-/Sites-pandora-master-catalog/default/dwbb259ca6/productimages/singlepackshot/764048C00_RGB.png")</f>
        <v>https://us.pandora.net/on/demandware.static/-/Sites-pandora-master-catalog/default/dwbb259ca6/productimages/singlepackshot/764048C00_RGB.png</v>
      </c>
    </row>
    <row r="2925" spans="1:4" x14ac:dyDescent="0.25">
      <c r="A2925" s="3" t="s">
        <v>2927</v>
      </c>
      <c r="B2925" s="4">
        <v>39</v>
      </c>
      <c r="C2925" s="3" t="str">
        <f ca="1">IFERROR(ROWSDUMMYFUNCTION(IF(A2925="","",IFERROR(IMAGE(CONCATENATE("https://us.pandora.net/on/demandware.static/-/Sites-pandora-master-catalog/default/dwbb259ca6/productimages/singlepackshot/",LEFT(A2925,FIND("-",A2925&amp;"-")-1),"_RGB.png")),""))),"{""url"":""https://us.pandora.net/on/demandware.static/-/Sites-pandora-master-catalog/default/dwbb259ca6/productimages/singlepackshot/764050C00_RGB.png"",""mode"":1}")</f>
        <v>{"url":"https://us.pandora.net/on/demandware.static/-/Sites-pandora-master-catalog/default/dwbb259ca6/productimages/singlepackshot/764050C00_RGB.png","mode":1}</v>
      </c>
      <c r="D2925" s="5" t="str">
        <f ca="1">IFERROR(ROWSDUMMYFUNCTION(IF(A2925="","",CONCATENATE("https://us.pandora.net/on/demandware.static/-/Sites-pandora-master-catalog/default/dwbb259ca6/productimages/singlepackshot/",LEFT(A2925,FIND("-",A2925&amp;"-")-1),"_RGB.png"))),"https://us.pandora.net/on/demandware.static/-/Sites-pandora-master-catalog/default/dwbb259ca6/productimages/singlepackshot/764050C00_RGB.png")</f>
        <v>https://us.pandora.net/on/demandware.static/-/Sites-pandora-master-catalog/default/dwbb259ca6/productimages/singlepackshot/764050C00_RGB.png</v>
      </c>
    </row>
    <row r="2926" spans="1:4" x14ac:dyDescent="0.25">
      <c r="A2926" s="3" t="s">
        <v>2928</v>
      </c>
      <c r="B2926" s="4">
        <v>39</v>
      </c>
      <c r="C2926" s="3" t="str">
        <f ca="1">IFERROR(ROWSDUMMYFUNCTION(IF(A2926="","",IFERROR(IMAGE(CONCATENATE("https://us.pandora.net/on/demandware.static/-/Sites-pandora-master-catalog/default/dwbb259ca6/productimages/singlepackshot/",LEFT(A2926,FIND("-",A2926&amp;"-")-1),"_RGB.png")),""))),"{""url"":""https://us.pandora.net/on/demandware.static/-/Sites-pandora-master-catalog/default/dwbb259ca6/productimages/singlepackshot/764052C00_RGB.png"",""mode"":1}")</f>
        <v>{"url":"https://us.pandora.net/on/demandware.static/-/Sites-pandora-master-catalog/default/dwbb259ca6/productimages/singlepackshot/764052C00_RGB.png","mode":1}</v>
      </c>
      <c r="D2926" s="5" t="str">
        <f ca="1">IFERROR(ROWSDUMMYFUNCTION(IF(A2926="","",CONCATENATE("https://us.pandora.net/on/demandware.static/-/Sites-pandora-master-catalog/default/dwbb259ca6/productimages/singlepackshot/",LEFT(A2926,FIND("-",A2926&amp;"-")-1),"_RGB.png"))),"https://us.pandora.net/on/demandware.static/-/Sites-pandora-master-catalog/default/dwbb259ca6/productimages/singlepackshot/764052C00_RGB.png")</f>
        <v>https://us.pandora.net/on/demandware.static/-/Sites-pandora-master-catalog/default/dwbb259ca6/productimages/singlepackshot/764052C00_RGB.png</v>
      </c>
    </row>
    <row r="2927" spans="1:4" x14ac:dyDescent="0.25">
      <c r="A2927" s="3" t="s">
        <v>2929</v>
      </c>
      <c r="B2927" s="4">
        <v>39</v>
      </c>
      <c r="C2927" s="3" t="str">
        <f ca="1">IFERROR(ROWSDUMMYFUNCTION(IF(A2927="","",IFERROR(IMAGE(CONCATENATE("https://us.pandora.net/on/demandware.static/-/Sites-pandora-master-catalog/default/dwbb259ca6/productimages/singlepackshot/",LEFT(A2927,FIND("-",A2927&amp;"-")-1),"_RGB.png")),""))),"{""url"":""https://us.pandora.net/on/demandware.static/-/Sites-pandora-master-catalog/default/dwbb259ca6/productimages/singlepackshot/764057C00_RGB.png"",""mode"":1}")</f>
        <v>{"url":"https://us.pandora.net/on/demandware.static/-/Sites-pandora-master-catalog/default/dwbb259ca6/productimages/singlepackshot/764057C00_RGB.png","mode":1}</v>
      </c>
      <c r="D2927" s="5" t="str">
        <f ca="1">IFERROR(ROWSDUMMYFUNCTION(IF(A2927="","",CONCATENATE("https://us.pandora.net/on/demandware.static/-/Sites-pandora-master-catalog/default/dwbb259ca6/productimages/singlepackshot/",LEFT(A2927,FIND("-",A2927&amp;"-")-1),"_RGB.png"))),"https://us.pandora.net/on/demandware.static/-/Sites-pandora-master-catalog/default/dwbb259ca6/productimages/singlepackshot/764057C00_RGB.png")</f>
        <v>https://us.pandora.net/on/demandware.static/-/Sites-pandora-master-catalog/default/dwbb259ca6/productimages/singlepackshot/764057C00_RGB.png</v>
      </c>
    </row>
    <row r="2928" spans="1:4" x14ac:dyDescent="0.25">
      <c r="A2928" s="3" t="s">
        <v>2930</v>
      </c>
      <c r="B2928" s="4">
        <v>49</v>
      </c>
      <c r="C2928" s="3" t="str">
        <f ca="1">IFERROR(ROWSDUMMYFUNCTION(IF(A2928="","",IFERROR(IMAGE(CONCATENATE("https://us.pandora.net/on/demandware.static/-/Sites-pandora-master-catalog/default/dwbb259ca6/productimages/singlepackshot/",LEFT(A2928,FIND("-",A2928&amp;"-")-1),"_RGB.png")),""))),"{""url"":""https://us.pandora.net/on/demandware.static/-/Sites-pandora-master-catalog/default/dwbb259ca6/productimages/singlepackshot/764063C01_RGB.png"",""mode"":1}")</f>
        <v>{"url":"https://us.pandora.net/on/demandware.static/-/Sites-pandora-master-catalog/default/dwbb259ca6/productimages/singlepackshot/764063C01_RGB.png","mode":1}</v>
      </c>
      <c r="D2928" s="5" t="str">
        <f ca="1">IFERROR(ROWSDUMMYFUNCTION(IF(A2928="","",CONCATENATE("https://us.pandora.net/on/demandware.static/-/Sites-pandora-master-catalog/default/dwbb259ca6/productimages/singlepackshot/",LEFT(A2928,FIND("-",A2928&amp;"-")-1),"_RGB.png"))),"https://us.pandora.net/on/demandware.static/-/Sites-pandora-master-catalog/default/dwbb259ca6/productimages/singlepackshot/764063C01_RGB.png")</f>
        <v>https://us.pandora.net/on/demandware.static/-/Sites-pandora-master-catalog/default/dwbb259ca6/productimages/singlepackshot/764063C01_RGB.png</v>
      </c>
    </row>
    <row r="2929" spans="1:4" x14ac:dyDescent="0.25">
      <c r="A2929" s="3" t="s">
        <v>2931</v>
      </c>
      <c r="B2929" s="4">
        <v>49</v>
      </c>
      <c r="C2929" s="3" t="str">
        <f ca="1">IFERROR(ROWSDUMMYFUNCTION(IF(A2929="","",IFERROR(IMAGE(CONCATENATE("https://us.pandora.net/on/demandware.static/-/Sites-pandora-master-catalog/default/dwbb259ca6/productimages/singlepackshot/",LEFT(A2929,FIND("-",A2929&amp;"-")-1),"_RGB.png")),""))),"{""url"":""https://us.pandora.net/on/demandware.static/-/Sites-pandora-master-catalog/default/dwbb259ca6/productimages/singlepackshot/764078C01_RGB.png"",""mode"":1}")</f>
        <v>{"url":"https://us.pandora.net/on/demandware.static/-/Sites-pandora-master-catalog/default/dwbb259ca6/productimages/singlepackshot/764078C01_RGB.png","mode":1}</v>
      </c>
      <c r="D2929" s="5" t="str">
        <f ca="1">IFERROR(ROWSDUMMYFUNCTION(IF(A2929="","",CONCATENATE("https://us.pandora.net/on/demandware.static/-/Sites-pandora-master-catalog/default/dwbb259ca6/productimages/singlepackshot/",LEFT(A2929,FIND("-",A2929&amp;"-")-1),"_RGB.png"))),"https://us.pandora.net/on/demandware.static/-/Sites-pandora-master-catalog/default/dwbb259ca6/productimages/singlepackshot/764078C01_RGB.png")</f>
        <v>https://us.pandora.net/on/demandware.static/-/Sites-pandora-master-catalog/default/dwbb259ca6/productimages/singlepackshot/764078C01_RGB.png</v>
      </c>
    </row>
    <row r="2930" spans="1:4" x14ac:dyDescent="0.25">
      <c r="A2930" s="3" t="s">
        <v>2932</v>
      </c>
      <c r="B2930" s="4">
        <v>59</v>
      </c>
      <c r="C2930" s="3" t="str">
        <f ca="1">IFERROR(ROWSDUMMYFUNCTION(IF(A2930="","",IFERROR(IMAGE(CONCATENATE("https://us.pandora.net/on/demandware.static/-/Sites-pandora-master-catalog/default/dwbb259ca6/productimages/singlepackshot/",LEFT(A2930,FIND("-",A2930&amp;"-")-1),"_RGB.png")),""))),"{""url"":""https://us.pandora.net/on/demandware.static/-/Sites-pandora-master-catalog/default/dwbb259ca6/productimages/singlepackshot/764081C01_RGB.png"",""mode"":1}")</f>
        <v>{"url":"https://us.pandora.net/on/demandware.static/-/Sites-pandora-master-catalog/default/dwbb259ca6/productimages/singlepackshot/764081C01_RGB.png","mode":1}</v>
      </c>
      <c r="D2930" s="5" t="str">
        <f ca="1">IFERROR(ROWSDUMMYFUNCTION(IF(A2930="","",CONCATENATE("https://us.pandora.net/on/demandware.static/-/Sites-pandora-master-catalog/default/dwbb259ca6/productimages/singlepackshot/",LEFT(A2930,FIND("-",A2930&amp;"-")-1),"_RGB.png"))),"https://us.pandora.net/on/demandware.static/-/Sites-pandora-master-catalog/default/dwbb259ca6/productimages/singlepackshot/764081C01_RGB.png")</f>
        <v>https://us.pandora.net/on/demandware.static/-/Sites-pandora-master-catalog/default/dwbb259ca6/productimages/singlepackshot/764081C01_RGB.png</v>
      </c>
    </row>
    <row r="2931" spans="1:4" x14ac:dyDescent="0.25">
      <c r="A2931" s="3" t="s">
        <v>2933</v>
      </c>
      <c r="B2931" s="4">
        <v>59</v>
      </c>
      <c r="C2931" s="3" t="str">
        <f ca="1">IFERROR(ROWSDUMMYFUNCTION(IF(A2931="","",IFERROR(IMAGE(CONCATENATE("https://us.pandora.net/on/demandware.static/-/Sites-pandora-master-catalog/default/dwbb259ca6/productimages/singlepackshot/",LEFT(A2931,FIND("-",A2931&amp;"-")-1),"_RGB.png")),""))),"{""url"":""https://us.pandora.net/on/demandware.static/-/Sites-pandora-master-catalog/default/dwbb259ca6/productimages/singlepackshot/764082C01_RGB.png"",""mode"":1}")</f>
        <v>{"url":"https://us.pandora.net/on/demandware.static/-/Sites-pandora-master-catalog/default/dwbb259ca6/productimages/singlepackshot/764082C01_RGB.png","mode":1}</v>
      </c>
      <c r="D2931" s="5" t="str">
        <f ca="1">IFERROR(ROWSDUMMYFUNCTION(IF(A2931="","",CONCATENATE("https://us.pandora.net/on/demandware.static/-/Sites-pandora-master-catalog/default/dwbb259ca6/productimages/singlepackshot/",LEFT(A2931,FIND("-",A2931&amp;"-")-1),"_RGB.png"))),"https://us.pandora.net/on/demandware.static/-/Sites-pandora-master-catalog/default/dwbb259ca6/productimages/singlepackshot/764082C01_RGB.png")</f>
        <v>https://us.pandora.net/on/demandware.static/-/Sites-pandora-master-catalog/default/dwbb259ca6/productimages/singlepackshot/764082C01_RGB.png</v>
      </c>
    </row>
    <row r="2932" spans="1:4" x14ac:dyDescent="0.25">
      <c r="A2932" s="3" t="s">
        <v>2934</v>
      </c>
      <c r="B2932" s="4">
        <v>99</v>
      </c>
      <c r="C2932" s="3" t="str">
        <f ca="1">IFERROR(ROWSDUMMYFUNCTION(IF(A2932="","",IFERROR(IMAGE(CONCATENATE("https://us.pandora.net/on/demandware.static/-/Sites-pandora-master-catalog/default/dwbb259ca6/productimages/singlepackshot/",LEFT(A2932,FIND("-",A2932&amp;"-")-1),"_RGB.png")),""))),"{""url"":""https://us.pandora.net/on/demandware.static/-/Sites-pandora-master-catalog/default/dwbb259ca6/productimages/singlepackshot/764084C01_RGB.png"",""mode"":1}")</f>
        <v>{"url":"https://us.pandora.net/on/demandware.static/-/Sites-pandora-master-catalog/default/dwbb259ca6/productimages/singlepackshot/764084C01_RGB.png","mode":1}</v>
      </c>
      <c r="D2932" s="5" t="str">
        <f ca="1">IFERROR(ROWSDUMMYFUNCTION(IF(A2932="","",CONCATENATE("https://us.pandora.net/on/demandware.static/-/Sites-pandora-master-catalog/default/dwbb259ca6/productimages/singlepackshot/",LEFT(A2932,FIND("-",A2932&amp;"-")-1),"_RGB.png"))),"https://us.pandora.net/on/demandware.static/-/Sites-pandora-master-catalog/default/dwbb259ca6/productimages/singlepackshot/764084C01_RGB.png")</f>
        <v>https://us.pandora.net/on/demandware.static/-/Sites-pandora-master-catalog/default/dwbb259ca6/productimages/singlepackshot/764084C01_RGB.png</v>
      </c>
    </row>
    <row r="2933" spans="1:4" x14ac:dyDescent="0.25">
      <c r="A2933" s="3" t="s">
        <v>2935</v>
      </c>
      <c r="B2933" s="4">
        <v>49</v>
      </c>
      <c r="C2933" s="3" t="str">
        <f ca="1">IFERROR(ROWSDUMMYFUNCTION(IF(A2933="","",IFERROR(IMAGE(CONCATENATE("https://us.pandora.net/on/demandware.static/-/Sites-pandora-master-catalog/default/dwbb259ca6/productimages/singlepackshot/",LEFT(A2933,FIND("-",A2933&amp;"-")-1),"_RGB.png")),""))),"{""url"":""https://us.pandora.net/on/demandware.static/-/Sites-pandora-master-catalog/default/dwbb259ca6/productimages/singlepackshot/764087C00_RGB.png"",""mode"":1}")</f>
        <v>{"url":"https://us.pandora.net/on/demandware.static/-/Sites-pandora-master-catalog/default/dwbb259ca6/productimages/singlepackshot/764087C00_RGB.png","mode":1}</v>
      </c>
      <c r="D2933" s="5" t="str">
        <f ca="1">IFERROR(ROWSDUMMYFUNCTION(IF(A2933="","",CONCATENATE("https://us.pandora.net/on/demandware.static/-/Sites-pandora-master-catalog/default/dwbb259ca6/productimages/singlepackshot/",LEFT(A2933,FIND("-",A2933&amp;"-")-1),"_RGB.png"))),"https://us.pandora.net/on/demandware.static/-/Sites-pandora-master-catalog/default/dwbb259ca6/productimages/singlepackshot/764087C00_RGB.png")</f>
        <v>https://us.pandora.net/on/demandware.static/-/Sites-pandora-master-catalog/default/dwbb259ca6/productimages/singlepackshot/764087C00_RGB.png</v>
      </c>
    </row>
    <row r="2934" spans="1:4" x14ac:dyDescent="0.25">
      <c r="A2934" s="3" t="s">
        <v>2936</v>
      </c>
      <c r="B2934" s="4">
        <v>49</v>
      </c>
      <c r="C2934" s="3" t="str">
        <f ca="1">IFERROR(ROWSDUMMYFUNCTION(IF(A2934="","",IFERROR(IMAGE(CONCATENATE("https://us.pandora.net/on/demandware.static/-/Sites-pandora-master-catalog/default/dwbb259ca6/productimages/singlepackshot/",LEFT(A2934,FIND("-",A2934&amp;"-")-1),"_RGB.png")),""))),"{""url"":""https://us.pandora.net/on/demandware.static/-/Sites-pandora-master-catalog/default/dwbb259ca6/productimages/singlepackshot/764088C01_RGB.png"",""mode"":1}")</f>
        <v>{"url":"https://us.pandora.net/on/demandware.static/-/Sites-pandora-master-catalog/default/dwbb259ca6/productimages/singlepackshot/764088C01_RGB.png","mode":1}</v>
      </c>
      <c r="D2934" s="5" t="str">
        <f ca="1">IFERROR(ROWSDUMMYFUNCTION(IF(A2934="","",CONCATENATE("https://us.pandora.net/on/demandware.static/-/Sites-pandora-master-catalog/default/dwbb259ca6/productimages/singlepackshot/",LEFT(A2934,FIND("-",A2934&amp;"-")-1),"_RGB.png"))),"https://us.pandora.net/on/demandware.static/-/Sites-pandora-master-catalog/default/dwbb259ca6/productimages/singlepackshot/764088C01_RGB.png")</f>
        <v>https://us.pandora.net/on/demandware.static/-/Sites-pandora-master-catalog/default/dwbb259ca6/productimages/singlepackshot/764088C01_RGB.png</v>
      </c>
    </row>
    <row r="2935" spans="1:4" x14ac:dyDescent="0.25">
      <c r="A2935" s="3" t="s">
        <v>2937</v>
      </c>
      <c r="B2935" s="4">
        <v>59</v>
      </c>
      <c r="C2935" s="3" t="str">
        <f ca="1">IFERROR(ROWSDUMMYFUNCTION(IF(A2935="","",IFERROR(IMAGE(CONCATENATE("https://us.pandora.net/on/demandware.static/-/Sites-pandora-master-catalog/default/dwbb259ca6/productimages/singlepackshot/",LEFT(A2935,FIND("-",A2935&amp;"-")-1),"_RGB.png")),""))),"{""url"":""https://us.pandora.net/on/demandware.static/-/Sites-pandora-master-catalog/default/dwbb259ca6/productimages/singlepackshot/764090C01_RGB.png"",""mode"":1}")</f>
        <v>{"url":"https://us.pandora.net/on/demandware.static/-/Sites-pandora-master-catalog/default/dwbb259ca6/productimages/singlepackshot/764090C01_RGB.png","mode":1}</v>
      </c>
      <c r="D2935" s="5" t="str">
        <f ca="1">IFERROR(ROWSDUMMYFUNCTION(IF(A2935="","",CONCATENATE("https://us.pandora.net/on/demandware.static/-/Sites-pandora-master-catalog/default/dwbb259ca6/productimages/singlepackshot/",LEFT(A2935,FIND("-",A2935&amp;"-")-1),"_RGB.png"))),"https://us.pandora.net/on/demandware.static/-/Sites-pandora-master-catalog/default/dwbb259ca6/productimages/singlepackshot/764090C01_RGB.png")</f>
        <v>https://us.pandora.net/on/demandware.static/-/Sites-pandora-master-catalog/default/dwbb259ca6/productimages/singlepackshot/764090C01_RGB.png</v>
      </c>
    </row>
    <row r="2936" spans="1:4" x14ac:dyDescent="0.25">
      <c r="A2936" s="3" t="s">
        <v>2938</v>
      </c>
      <c r="B2936" s="4">
        <v>69</v>
      </c>
      <c r="C2936" s="3" t="str">
        <f ca="1">IFERROR(ROWSDUMMYFUNCTION(IF(A2936="","",IFERROR(IMAGE(CONCATENATE("https://us.pandora.net/on/demandware.static/-/Sites-pandora-master-catalog/default/dwbb259ca6/productimages/singlepackshot/",LEFT(A2936,FIND("-",A2936&amp;"-")-1),"_RGB.png")),""))),"{""url"":""https://us.pandora.net/on/demandware.static/-/Sites-pandora-master-catalog/default/dwbb259ca6/productimages/singlepackshot/764130C01_RGB.png"",""mode"":1}")</f>
        <v>{"url":"https://us.pandora.net/on/demandware.static/-/Sites-pandora-master-catalog/default/dwbb259ca6/productimages/singlepackshot/764130C01_RGB.png","mode":1}</v>
      </c>
      <c r="D2936" s="5" t="str">
        <f ca="1">IFERROR(ROWSDUMMYFUNCTION(IF(A2936="","",CONCATENATE("https://us.pandora.net/on/demandware.static/-/Sites-pandora-master-catalog/default/dwbb259ca6/productimages/singlepackshot/",LEFT(A2936,FIND("-",A2936&amp;"-")-1),"_RGB.png"))),"https://us.pandora.net/on/demandware.static/-/Sites-pandora-master-catalog/default/dwbb259ca6/productimages/singlepackshot/764130C01_RGB.png")</f>
        <v>https://us.pandora.net/on/demandware.static/-/Sites-pandora-master-catalog/default/dwbb259ca6/productimages/singlepackshot/764130C01_RGB.png</v>
      </c>
    </row>
    <row r="2937" spans="1:4" x14ac:dyDescent="0.25">
      <c r="A2937" s="3" t="s">
        <v>2939</v>
      </c>
      <c r="B2937" s="4">
        <v>49</v>
      </c>
      <c r="C2937" s="3" t="str">
        <f ca="1">IFERROR(ROWSDUMMYFUNCTION(IF(A2937="","",IFERROR(IMAGE(CONCATENATE("https://us.pandora.net/on/demandware.static/-/Sites-pandora-master-catalog/default/dwbb259ca6/productimages/singlepackshot/",LEFT(A2937,FIND("-",A2937&amp;"-")-1),"_RGB.png")),""))),"{""url"":""https://us.pandora.net/on/demandware.static/-/Sites-pandora-master-catalog/default/dwbb259ca6/productimages/singlepackshot/764138C01_RGB.png"",""mode"":1}")</f>
        <v>{"url":"https://us.pandora.net/on/demandware.static/-/Sites-pandora-master-catalog/default/dwbb259ca6/productimages/singlepackshot/764138C01_RGB.png","mode":1}</v>
      </c>
      <c r="D2937" s="5" t="str">
        <f ca="1">IFERROR(ROWSDUMMYFUNCTION(IF(A2937="","",CONCATENATE("https://us.pandora.net/on/demandware.static/-/Sites-pandora-master-catalog/default/dwbb259ca6/productimages/singlepackshot/",LEFT(A2937,FIND("-",A2937&amp;"-")-1),"_RGB.png"))),"https://us.pandora.net/on/demandware.static/-/Sites-pandora-master-catalog/default/dwbb259ca6/productimages/singlepackshot/764138C01_RGB.png")</f>
        <v>https://us.pandora.net/on/demandware.static/-/Sites-pandora-master-catalog/default/dwbb259ca6/productimages/singlepackshot/764138C01_RGB.png</v>
      </c>
    </row>
    <row r="2938" spans="1:4" x14ac:dyDescent="0.25">
      <c r="A2938" s="3" t="s">
        <v>2940</v>
      </c>
      <c r="B2938" s="4">
        <v>59</v>
      </c>
      <c r="C2938" s="3" t="str">
        <f ca="1">IFERROR(ROWSDUMMYFUNCTION(IF(A2938="","",IFERROR(IMAGE(CONCATENATE("https://us.pandora.net/on/demandware.static/-/Sites-pandora-master-catalog/default/dwbb259ca6/productimages/singlepackshot/",LEFT(A2938,FIND("-",A2938&amp;"-")-1),"_RGB.png")),""))),"{""url"":""https://us.pandora.net/on/demandware.static/-/Sites-pandora-master-catalog/default/dwbb259ca6/productimages/singlepackshot/764141C01_RGB.png"",""mode"":1}")</f>
        <v>{"url":"https://us.pandora.net/on/demandware.static/-/Sites-pandora-master-catalog/default/dwbb259ca6/productimages/singlepackshot/764141C01_RGB.png","mode":1}</v>
      </c>
      <c r="D2938" s="5" t="str">
        <f ca="1">IFERROR(ROWSDUMMYFUNCTION(IF(A2938="","",CONCATENATE("https://us.pandora.net/on/demandware.static/-/Sites-pandora-master-catalog/default/dwbb259ca6/productimages/singlepackshot/",LEFT(A2938,FIND("-",A2938&amp;"-")-1),"_RGB.png"))),"https://us.pandora.net/on/demandware.static/-/Sites-pandora-master-catalog/default/dwbb259ca6/productimages/singlepackshot/764141C01_RGB.png")</f>
        <v>https://us.pandora.net/on/demandware.static/-/Sites-pandora-master-catalog/default/dwbb259ca6/productimages/singlepackshot/764141C01_RGB.png</v>
      </c>
    </row>
    <row r="2939" spans="1:4" x14ac:dyDescent="0.25">
      <c r="A2939" s="3" t="s">
        <v>2941</v>
      </c>
      <c r="B2939" s="4">
        <v>29</v>
      </c>
      <c r="C2939" s="3" t="str">
        <f ca="1">IFERROR(ROWSDUMMYFUNCTION(IF(A2939="","",IFERROR(IMAGE(CONCATENATE("https://us.pandora.net/on/demandware.static/-/Sites-pandora-master-catalog/default/dwbb259ca6/productimages/singlepackshot/",LEFT(A2939,FIND("-",A2939&amp;"-")-1),"_RGB.png")),""))),"{""url"":""https://us.pandora.net/on/demandware.static/-/Sites-pandora-master-catalog/default/dwbb259ca6/productimages/singlepackshot/764145C00_RGB.png"",""mode"":1}")</f>
        <v>{"url":"https://us.pandora.net/on/demandware.static/-/Sites-pandora-master-catalog/default/dwbb259ca6/productimages/singlepackshot/764145C00_RGB.png","mode":1}</v>
      </c>
      <c r="D2939" s="5" t="str">
        <f ca="1">IFERROR(ROWSDUMMYFUNCTION(IF(A2939="","",CONCATENATE("https://us.pandora.net/on/demandware.static/-/Sites-pandora-master-catalog/default/dwbb259ca6/productimages/singlepackshot/",LEFT(A2939,FIND("-",A2939&amp;"-")-1),"_RGB.png"))),"https://us.pandora.net/on/demandware.static/-/Sites-pandora-master-catalog/default/dwbb259ca6/productimages/singlepackshot/764145C00_RGB.png")</f>
        <v>https://us.pandora.net/on/demandware.static/-/Sites-pandora-master-catalog/default/dwbb259ca6/productimages/singlepackshot/764145C00_RGB.png</v>
      </c>
    </row>
    <row r="2940" spans="1:4" x14ac:dyDescent="0.25">
      <c r="A2940" s="3" t="s">
        <v>2942</v>
      </c>
      <c r="B2940" s="4">
        <v>149</v>
      </c>
      <c r="C2940" s="3" t="str">
        <f ca="1">IFERROR(ROWSDUMMYFUNCTION(IF(A2940="","",IFERROR(IMAGE(CONCATENATE("https://us.pandora.net/on/demandware.static/-/Sites-pandora-master-catalog/default/dwbb259ca6/productimages/singlepackshot/",LEFT(A2940,FIND("-",A2940&amp;"-")-1),"_RGB.png")),""))),"{""url"":""https://us.pandora.net/on/demandware.static/-/Sites-pandora-master-catalog/default/dwbb259ca6/productimages/singlepackshot/764207C01_RGB.png"",""mode"":1}")</f>
        <v>{"url":"https://us.pandora.net/on/demandware.static/-/Sites-pandora-master-catalog/default/dwbb259ca6/productimages/singlepackshot/764207C01_RGB.png","mode":1}</v>
      </c>
      <c r="D2940" s="5" t="str">
        <f ca="1">IFERROR(ROWSDUMMYFUNCTION(IF(A2940="","",CONCATENATE("https://us.pandora.net/on/demandware.static/-/Sites-pandora-master-catalog/default/dwbb259ca6/productimages/singlepackshot/",LEFT(A2940,FIND("-",A2940&amp;"-")-1),"_RGB.png"))),"https://us.pandora.net/on/demandware.static/-/Sites-pandora-master-catalog/default/dwbb259ca6/productimages/singlepackshot/764207C01_RGB.png")</f>
        <v>https://us.pandora.net/on/demandware.static/-/Sites-pandora-master-catalog/default/dwbb259ca6/productimages/singlepackshot/764207C01_RGB.png</v>
      </c>
    </row>
    <row r="2941" spans="1:4" x14ac:dyDescent="0.25">
      <c r="A2941" s="3" t="s">
        <v>2943</v>
      </c>
      <c r="B2941" s="4">
        <v>89</v>
      </c>
      <c r="C2941" s="3" t="str">
        <f ca="1">IFERROR(ROWSDUMMYFUNCTION(IF(A2941="","",IFERROR(IMAGE(CONCATENATE("https://us.pandora.net/on/demandware.static/-/Sites-pandora-master-catalog/default/dwbb259ca6/productimages/singlepackshot/",LEFT(A2941,FIND("-",A2941&amp;"-")-1),"_RGB.png")),""))),"{""url"":""https://us.pandora.net/on/demandware.static/-/Sites-pandora-master-catalog/default/dwbb259ca6/productimages/singlepackshot/764213C01_RGB.png"",""mode"":1}")</f>
        <v>{"url":"https://us.pandora.net/on/demandware.static/-/Sites-pandora-master-catalog/default/dwbb259ca6/productimages/singlepackshot/764213C01_RGB.png","mode":1}</v>
      </c>
      <c r="D2941" s="5" t="str">
        <f ca="1">IFERROR(ROWSDUMMYFUNCTION(IF(A2941="","",CONCATENATE("https://us.pandora.net/on/demandware.static/-/Sites-pandora-master-catalog/default/dwbb259ca6/productimages/singlepackshot/",LEFT(A2941,FIND("-",A2941&amp;"-")-1),"_RGB.png"))),"https://us.pandora.net/on/demandware.static/-/Sites-pandora-master-catalog/default/dwbb259ca6/productimages/singlepackshot/764213C01_RGB.png")</f>
        <v>https://us.pandora.net/on/demandware.static/-/Sites-pandora-master-catalog/default/dwbb259ca6/productimages/singlepackshot/764213C01_RGB.png</v>
      </c>
    </row>
    <row r="2942" spans="1:4" x14ac:dyDescent="0.25">
      <c r="A2942" s="3" t="s">
        <v>2944</v>
      </c>
      <c r="B2942" s="4">
        <v>79</v>
      </c>
      <c r="C2942" s="3" t="str">
        <f ca="1">IFERROR(ROWSDUMMYFUNCTION(IF(A2942="","",IFERROR(IMAGE(CONCATENATE("https://us.pandora.net/on/demandware.static/-/Sites-pandora-master-catalog/default/dwbb259ca6/productimages/singlepackshot/",LEFT(A2942,FIND("-",A2942&amp;"-")-1),"_RGB.png")),""))),"{""url"":""https://us.pandora.net/on/demandware.static/-/Sites-pandora-master-catalog/default/dwbb259ca6/productimages/singlepackshot/764215C00_RGB.png"",""mode"":1}")</f>
        <v>{"url":"https://us.pandora.net/on/demandware.static/-/Sites-pandora-master-catalog/default/dwbb259ca6/productimages/singlepackshot/764215C00_RGB.png","mode":1}</v>
      </c>
      <c r="D2942" s="5" t="str">
        <f ca="1">IFERROR(ROWSDUMMYFUNCTION(IF(A2942="","",CONCATENATE("https://us.pandora.net/on/demandware.static/-/Sites-pandora-master-catalog/default/dwbb259ca6/productimages/singlepackshot/",LEFT(A2942,FIND("-",A2942&amp;"-")-1),"_RGB.png"))),"https://us.pandora.net/on/demandware.static/-/Sites-pandora-master-catalog/default/dwbb259ca6/productimages/singlepackshot/764215C00_RGB.png")</f>
        <v>https://us.pandora.net/on/demandware.static/-/Sites-pandora-master-catalog/default/dwbb259ca6/productimages/singlepackshot/764215C00_RGB.png</v>
      </c>
    </row>
    <row r="2943" spans="1:4" x14ac:dyDescent="0.25">
      <c r="A2943" s="3" t="s">
        <v>2945</v>
      </c>
      <c r="B2943" s="4">
        <v>79</v>
      </c>
      <c r="C2943" s="3" t="str">
        <f ca="1">IFERROR(ROWSDUMMYFUNCTION(IF(A2943="","",IFERROR(IMAGE(CONCATENATE("https://us.pandora.net/on/demandware.static/-/Sites-pandora-master-catalog/default/dwbb259ca6/productimages/singlepackshot/",LEFT(A2943,FIND("-",A2943&amp;"-")-1),"_RGB.png")),""))),"{""url"":""https://us.pandora.net/on/demandware.static/-/Sites-pandora-master-catalog/default/dwbb259ca6/productimages/singlepackshot/764216C01_RGB.png"",""mode"":1}")</f>
        <v>{"url":"https://us.pandora.net/on/demandware.static/-/Sites-pandora-master-catalog/default/dwbb259ca6/productimages/singlepackshot/764216C01_RGB.png","mode":1}</v>
      </c>
      <c r="D2943" s="5" t="str">
        <f ca="1">IFERROR(ROWSDUMMYFUNCTION(IF(A2943="","",CONCATENATE("https://us.pandora.net/on/demandware.static/-/Sites-pandora-master-catalog/default/dwbb259ca6/productimages/singlepackshot/",LEFT(A2943,FIND("-",A2943&amp;"-")-1),"_RGB.png"))),"https://us.pandora.net/on/demandware.static/-/Sites-pandora-master-catalog/default/dwbb259ca6/productimages/singlepackshot/764216C01_RGB.png")</f>
        <v>https://us.pandora.net/on/demandware.static/-/Sites-pandora-master-catalog/default/dwbb259ca6/productimages/singlepackshot/764216C01_RGB.png</v>
      </c>
    </row>
    <row r="2944" spans="1:4" x14ac:dyDescent="0.25">
      <c r="A2944" s="3" t="s">
        <v>2946</v>
      </c>
      <c r="B2944" s="4">
        <v>79</v>
      </c>
      <c r="C2944" s="3" t="str">
        <f ca="1">IFERROR(ROWSDUMMYFUNCTION(IF(A2944="","",IFERROR(IMAGE(CONCATENATE("https://us.pandora.net/on/demandware.static/-/Sites-pandora-master-catalog/default/dwbb259ca6/productimages/singlepackshot/",LEFT(A2944,FIND("-",A2944&amp;"-")-1),"_RGB.png")),""))),"{""url"":""https://us.pandora.net/on/demandware.static/-/Sites-pandora-master-catalog/default/dwbb259ca6/productimages/singlepackshot/764240C01_RGB.png"",""mode"":1}")</f>
        <v>{"url":"https://us.pandora.net/on/demandware.static/-/Sites-pandora-master-catalog/default/dwbb259ca6/productimages/singlepackshot/764240C01_RGB.png","mode":1}</v>
      </c>
      <c r="D2944" s="5" t="str">
        <f ca="1">IFERROR(ROWSDUMMYFUNCTION(IF(A2944="","",CONCATENATE("https://us.pandora.net/on/demandware.static/-/Sites-pandora-master-catalog/default/dwbb259ca6/productimages/singlepackshot/",LEFT(A2944,FIND("-",A2944&amp;"-")-1),"_RGB.png"))),"https://us.pandora.net/on/demandware.static/-/Sites-pandora-master-catalog/default/dwbb259ca6/productimages/singlepackshot/764240C01_RGB.png")</f>
        <v>https://us.pandora.net/on/demandware.static/-/Sites-pandora-master-catalog/default/dwbb259ca6/productimages/singlepackshot/764240C01_RGB.png</v>
      </c>
    </row>
    <row r="2945" spans="1:4" x14ac:dyDescent="0.25">
      <c r="A2945" s="3" t="s">
        <v>2947</v>
      </c>
      <c r="B2945" s="4">
        <v>39</v>
      </c>
      <c r="C2945" s="3" t="str">
        <f ca="1">IFERROR(ROWSDUMMYFUNCTION(IF(A2945="","",IFERROR(IMAGE(CONCATENATE("https://us.pandora.net/on/demandware.static/-/Sites-pandora-master-catalog/default/dwbb259ca6/productimages/singlepackshot/",LEFT(A2945,FIND("-",A2945&amp;"-")-1),"_RGB.png")),""))),"{""url"":""https://us.pandora.net/on/demandware.static/-/Sites-pandora-master-catalog/default/dwbb259ca6/productimages/singlepackshot/764248C01_RGB.png"",""mode"":1}")</f>
        <v>{"url":"https://us.pandora.net/on/demandware.static/-/Sites-pandora-master-catalog/default/dwbb259ca6/productimages/singlepackshot/764248C01_RGB.png","mode":1}</v>
      </c>
      <c r="D2945" s="5" t="str">
        <f ca="1">IFERROR(ROWSDUMMYFUNCTION(IF(A2945="","",CONCATENATE("https://us.pandora.net/on/demandware.static/-/Sites-pandora-master-catalog/default/dwbb259ca6/productimages/singlepackshot/",LEFT(A2945,FIND("-",A2945&amp;"-")-1),"_RGB.png"))),"https://us.pandora.net/on/demandware.static/-/Sites-pandora-master-catalog/default/dwbb259ca6/productimages/singlepackshot/764248C01_RGB.png")</f>
        <v>https://us.pandora.net/on/demandware.static/-/Sites-pandora-master-catalog/default/dwbb259ca6/productimages/singlepackshot/764248C01_RGB.png</v>
      </c>
    </row>
    <row r="2946" spans="1:4" x14ac:dyDescent="0.25">
      <c r="A2946" s="3" t="s">
        <v>2948</v>
      </c>
      <c r="B2946" s="4">
        <v>119</v>
      </c>
      <c r="C2946" s="3" t="str">
        <f ca="1">IFERROR(ROWSDUMMYFUNCTION(IF(A2946="","",IFERROR(IMAGE(CONCATENATE("https://us.pandora.net/on/demandware.static/-/Sites-pandora-master-catalog/default/dwbb259ca6/productimages/singlepackshot/",LEFT(A2946,FIND("-",A2946&amp;"-")-1),"_RGB.png")),""))),"{""url"":""https://us.pandora.net/on/demandware.static/-/Sites-pandora-master-catalog/default/dwbb259ca6/productimages/singlepackshot/764275C01_RGB.png"",""mode"":1}")</f>
        <v>{"url":"https://us.pandora.net/on/demandware.static/-/Sites-pandora-master-catalog/default/dwbb259ca6/productimages/singlepackshot/764275C01_RGB.png","mode":1}</v>
      </c>
      <c r="D2946" s="5" t="str">
        <f ca="1">IFERROR(ROWSDUMMYFUNCTION(IF(A2946="","",CONCATENATE("https://us.pandora.net/on/demandware.static/-/Sites-pandora-master-catalog/default/dwbb259ca6/productimages/singlepackshot/",LEFT(A2946,FIND("-",A2946&amp;"-")-1),"_RGB.png"))),"https://us.pandora.net/on/demandware.static/-/Sites-pandora-master-catalog/default/dwbb259ca6/productimages/singlepackshot/764275C01_RGB.png")</f>
        <v>https://us.pandora.net/on/demandware.static/-/Sites-pandora-master-catalog/default/dwbb259ca6/productimages/singlepackshot/764275C01_RGB.png</v>
      </c>
    </row>
    <row r="2947" spans="1:4" x14ac:dyDescent="0.25">
      <c r="A2947" s="3" t="s">
        <v>2949</v>
      </c>
      <c r="B2947" s="4">
        <v>39</v>
      </c>
      <c r="C2947" s="3" t="str">
        <f ca="1">IFERROR(ROWSDUMMYFUNCTION(IF(A2947="","",IFERROR(IMAGE(CONCATENATE("https://us.pandora.net/on/demandware.static/-/Sites-pandora-master-catalog/default/dwbb259ca6/productimages/singlepackshot/",LEFT(A2947,FIND("-",A2947&amp;"-")-1),"_RGB.png")),""))),"{""url"":""https://us.pandora.net/on/demandware.static/-/Sites-pandora-master-catalog/default/dwbb259ca6/productimages/singlepackshot/767516C00_RGB.png"",""mode"":1}")</f>
        <v>{"url":"https://us.pandora.net/on/demandware.static/-/Sites-pandora-master-catalog/default/dwbb259ca6/productimages/singlepackshot/767516C00_RGB.png","mode":1}</v>
      </c>
      <c r="D2947" s="5" t="str">
        <f ca="1">IFERROR(ROWSDUMMYFUNCTION(IF(A2947="","",CONCATENATE("https://us.pandora.net/on/demandware.static/-/Sites-pandora-master-catalog/default/dwbb259ca6/productimages/singlepackshot/",LEFT(A2947,FIND("-",A2947&amp;"-")-1),"_RGB.png"))),"https://us.pandora.net/on/demandware.static/-/Sites-pandora-master-catalog/default/dwbb259ca6/productimages/singlepackshot/767516C00_RGB.png")</f>
        <v>https://us.pandora.net/on/demandware.static/-/Sites-pandora-master-catalog/default/dwbb259ca6/productimages/singlepackshot/767516C00_RGB.png</v>
      </c>
    </row>
    <row r="2948" spans="1:4" x14ac:dyDescent="0.25">
      <c r="A2948" s="3" t="s">
        <v>2950</v>
      </c>
      <c r="B2948" s="4">
        <v>69</v>
      </c>
      <c r="C2948" s="3" t="str">
        <f ca="1">IFERROR(ROWSDUMMYFUNCTION(IF(A2948="","",IFERROR(IMAGE(CONCATENATE("https://us.pandora.net/on/demandware.static/-/Sites-pandora-master-catalog/default/dwbb259ca6/productimages/singlepackshot/",LEFT(A2948,FIND("-",A2948&amp;"-")-1),"_RGB.png")),""))),"{""url"":""https://us.pandora.net/on/demandware.static/-/Sites-pandora-master-catalog/default/dwbb259ca6/productimages/singlepackshot/768009C01_RGB.png"",""mode"":1}")</f>
        <v>{"url":"https://us.pandora.net/on/demandware.static/-/Sites-pandora-master-catalog/default/dwbb259ca6/productimages/singlepackshot/768009C01_RGB.png","mode":1}</v>
      </c>
      <c r="D2948" s="5" t="str">
        <f ca="1">IFERROR(ROWSDUMMYFUNCTION(IF(A2948="","",CONCATENATE("https://us.pandora.net/on/demandware.static/-/Sites-pandora-master-catalog/default/dwbb259ca6/productimages/singlepackshot/",LEFT(A2948,FIND("-",A2948&amp;"-")-1),"_RGB.png"))),"https://us.pandora.net/on/demandware.static/-/Sites-pandora-master-catalog/default/dwbb259ca6/productimages/singlepackshot/768009C01_RGB.png")</f>
        <v>https://us.pandora.net/on/demandware.static/-/Sites-pandora-master-catalog/default/dwbb259ca6/productimages/singlepackshot/768009C01_RGB.png</v>
      </c>
    </row>
    <row r="2949" spans="1:4" x14ac:dyDescent="0.25">
      <c r="A2949" s="3" t="s">
        <v>2951</v>
      </c>
      <c r="B2949" s="4">
        <v>49</v>
      </c>
      <c r="C2949" s="3" t="str">
        <f ca="1">IFERROR(ROWSDUMMYFUNCTION(IF(A2949="","",IFERROR(IMAGE(CONCATENATE("https://us.pandora.net/on/demandware.static/-/Sites-pandora-master-catalog/default/dwbb259ca6/productimages/singlepackshot/",LEFT(A2949,FIND("-",A2949&amp;"-")-1),"_RGB.png")),""))),"{""url"":""https://us.pandora.net/on/demandware.static/-/Sites-pandora-master-catalog/default/dwbb259ca6/productimages/singlepackshot/768035C00_RGB.png"",""mode"":1}")</f>
        <v>{"url":"https://us.pandora.net/on/demandware.static/-/Sites-pandora-master-catalog/default/dwbb259ca6/productimages/singlepackshot/768035C00_RGB.png","mode":1}</v>
      </c>
      <c r="D2949" s="5" t="str">
        <f ca="1">IFERROR(ROWSDUMMYFUNCTION(IF(A2949="","",CONCATENATE("https://us.pandora.net/on/demandware.static/-/Sites-pandora-master-catalog/default/dwbb259ca6/productimages/singlepackshot/",LEFT(A2949,FIND("-",A2949&amp;"-")-1),"_RGB.png"))),"https://us.pandora.net/on/demandware.static/-/Sites-pandora-master-catalog/default/dwbb259ca6/productimages/singlepackshot/768035C00_RGB.png")</f>
        <v>https://us.pandora.net/on/demandware.static/-/Sites-pandora-master-catalog/default/dwbb259ca6/productimages/singlepackshot/768035C00_RGB.png</v>
      </c>
    </row>
    <row r="2950" spans="1:4" x14ac:dyDescent="0.25">
      <c r="A2950" s="3" t="s">
        <v>2952</v>
      </c>
      <c r="B2950" s="4">
        <v>79</v>
      </c>
      <c r="C2950" s="3" t="str">
        <f ca="1">IFERROR(ROWSDUMMYFUNCTION(IF(A2950="","",IFERROR(IMAGE(CONCATENATE("https://us.pandora.net/on/demandware.static/-/Sites-pandora-master-catalog/default/dwbb259ca6/productimages/singlepackshot/",LEFT(A2950,FIND("-",A2950&amp;"-")-1),"_RGB.png")),""))),"{""url"":""https://us.pandora.net/on/demandware.static/-/Sites-pandora-master-catalog/default/dwbb259ca6/productimages/singlepackshot/768642C01_RGB.png"",""mode"":1}")</f>
        <v>{"url":"https://us.pandora.net/on/demandware.static/-/Sites-pandora-master-catalog/default/dwbb259ca6/productimages/singlepackshot/768642C01_RGB.png","mode":1}</v>
      </c>
      <c r="D2950" s="5" t="str">
        <f ca="1">IFERROR(ROWSDUMMYFUNCTION(IF(A2950="","",CONCATENATE("https://us.pandora.net/on/demandware.static/-/Sites-pandora-master-catalog/default/dwbb259ca6/productimages/singlepackshot/",LEFT(A2950,FIND("-",A2950&amp;"-")-1),"_RGB.png"))),"https://us.pandora.net/on/demandware.static/-/Sites-pandora-master-catalog/default/dwbb259ca6/productimages/singlepackshot/768642C01_RGB.png")</f>
        <v>https://us.pandora.net/on/demandware.static/-/Sites-pandora-master-catalog/default/dwbb259ca6/productimages/singlepackshot/768642C01_RGB.png</v>
      </c>
    </row>
    <row r="2951" spans="1:4" x14ac:dyDescent="0.25">
      <c r="A2951" s="3" t="s">
        <v>2953</v>
      </c>
      <c r="B2951" s="4">
        <v>59</v>
      </c>
      <c r="C2951" s="3" t="str">
        <f ca="1">IFERROR(ROWSDUMMYFUNCTION(IF(A2951="","",IFERROR(IMAGE(CONCATENATE("https://us.pandora.net/on/demandware.static/-/Sites-pandora-master-catalog/default/dwbb259ca6/productimages/singlepackshot/",LEFT(A2951,FIND("-",A2951&amp;"-")-1),"_RGB.png")),""))),"{""url"":""https://us.pandora.net/on/demandware.static/-/Sites-pandora-master-catalog/default/dwbb259ca6/productimages/singlepackshot/768658C01_RGB.png"",""mode"":1}")</f>
        <v>{"url":"https://us.pandora.net/on/demandware.static/-/Sites-pandora-master-catalog/default/dwbb259ca6/productimages/singlepackshot/768658C01_RGB.png","mode":1}</v>
      </c>
      <c r="D2951" s="5" t="str">
        <f ca="1">IFERROR(ROWSDUMMYFUNCTION(IF(A2951="","",CONCATENATE("https://us.pandora.net/on/demandware.static/-/Sites-pandora-master-catalog/default/dwbb259ca6/productimages/singlepackshot/",LEFT(A2951,FIND("-",A2951&amp;"-")-1),"_RGB.png"))),"https://us.pandora.net/on/demandware.static/-/Sites-pandora-master-catalog/default/dwbb259ca6/productimages/singlepackshot/768658C01_RGB.png")</f>
        <v>https://us.pandora.net/on/demandware.static/-/Sites-pandora-master-catalog/default/dwbb259ca6/productimages/singlepackshot/768658C01_RGB.png</v>
      </c>
    </row>
    <row r="2952" spans="1:4" x14ac:dyDescent="0.25">
      <c r="A2952" s="3" t="s">
        <v>2954</v>
      </c>
      <c r="B2952" s="4">
        <v>89</v>
      </c>
      <c r="C2952" s="3" t="str">
        <f ca="1">IFERROR(ROWSDUMMYFUNCTION(IF(A2952="","",IFERROR(IMAGE(CONCATENATE("https://us.pandora.net/on/demandware.static/-/Sites-pandora-master-catalog/default/dwbb259ca6/productimages/singlepackshot/",LEFT(A2952,FIND("-",A2952&amp;"-")-1),"_RGB.png")),""))),"{""url"":""https://us.pandora.net/on/demandware.static/-/Sites-pandora-master-catalog/default/dwbb259ca6/productimages/singlepackshot/768661C01_RGB.png"",""mode"":1}")</f>
        <v>{"url":"https://us.pandora.net/on/demandware.static/-/Sites-pandora-master-catalog/default/dwbb259ca6/productimages/singlepackshot/768661C01_RGB.png","mode":1}</v>
      </c>
      <c r="D2952" s="5" t="str">
        <f ca="1">IFERROR(ROWSDUMMYFUNCTION(IF(A2952="","",CONCATENATE("https://us.pandora.net/on/demandware.static/-/Sites-pandora-master-catalog/default/dwbb259ca6/productimages/singlepackshot/",LEFT(A2952,FIND("-",A2952&amp;"-")-1),"_RGB.png"))),"https://us.pandora.net/on/demandware.static/-/Sites-pandora-master-catalog/default/dwbb259ca6/productimages/singlepackshot/768661C01_RGB.png")</f>
        <v>https://us.pandora.net/on/demandware.static/-/Sites-pandora-master-catalog/default/dwbb259ca6/productimages/singlepackshot/768661C01_RGB.png</v>
      </c>
    </row>
    <row r="2953" spans="1:4" x14ac:dyDescent="0.25">
      <c r="A2953" s="3" t="s">
        <v>2955</v>
      </c>
      <c r="B2953" s="4">
        <v>69</v>
      </c>
      <c r="C2953" s="3" t="str">
        <f ca="1">IFERROR(ROWSDUMMYFUNCTION(IF(A2953="","",IFERROR(IMAGE(CONCATENATE("https://us.pandora.net/on/demandware.static/-/Sites-pandora-master-catalog/default/dwbb259ca6/productimages/singlepackshot/",LEFT(A2953,FIND("-",A2953&amp;"-")-1),"_RGB.png")),""))),"{""url"":""https://us.pandora.net/on/demandware.static/-/Sites-pandora-master-catalog/default/dwbb259ca6/productimages/singlepackshot/768747C01_RGB.png"",""mode"":1}")</f>
        <v>{"url":"https://us.pandora.net/on/demandware.static/-/Sites-pandora-master-catalog/default/dwbb259ca6/productimages/singlepackshot/768747C01_RGB.png","mode":1}</v>
      </c>
      <c r="D2953" s="5" t="str">
        <f ca="1">IFERROR(ROWSDUMMYFUNCTION(IF(A2953="","",CONCATENATE("https://us.pandora.net/on/demandware.static/-/Sites-pandora-master-catalog/default/dwbb259ca6/productimages/singlepackshot/",LEFT(A2953,FIND("-",A2953&amp;"-")-1),"_RGB.png"))),"https://us.pandora.net/on/demandware.static/-/Sites-pandora-master-catalog/default/dwbb259ca6/productimages/singlepackshot/768747C01_RGB.png")</f>
        <v>https://us.pandora.net/on/demandware.static/-/Sites-pandora-master-catalog/default/dwbb259ca6/productimages/singlepackshot/768747C01_RGB.png</v>
      </c>
    </row>
    <row r="2954" spans="1:4" x14ac:dyDescent="0.25">
      <c r="A2954" s="3" t="s">
        <v>2956</v>
      </c>
      <c r="B2954" s="4">
        <v>59</v>
      </c>
      <c r="C2954" s="3" t="str">
        <f ca="1">IFERROR(ROWSDUMMYFUNCTION(IF(A2954="","",IFERROR(IMAGE(CONCATENATE("https://us.pandora.net/on/demandware.static/-/Sites-pandora-master-catalog/default/dwbb259ca6/productimages/singlepackshot/",LEFT(A2954,FIND("-",A2954&amp;"-")-1),"_RGB.png")),""))),"{""url"":""https://us.pandora.net/on/demandware.static/-/Sites-pandora-master-catalog/default/dwbb259ca6/productimages/singlepackshot/768761C01_RGB.png"",""mode"":1}")</f>
        <v>{"url":"https://us.pandora.net/on/demandware.static/-/Sites-pandora-master-catalog/default/dwbb259ca6/productimages/singlepackshot/768761C01_RGB.png","mode":1}</v>
      </c>
      <c r="D2954" s="5" t="str">
        <f ca="1">IFERROR(ROWSDUMMYFUNCTION(IF(A2954="","",CONCATENATE("https://us.pandora.net/on/demandware.static/-/Sites-pandora-master-catalog/default/dwbb259ca6/productimages/singlepackshot/",LEFT(A2954,FIND("-",A2954&amp;"-")-1),"_RGB.png"))),"https://us.pandora.net/on/demandware.static/-/Sites-pandora-master-catalog/default/dwbb259ca6/productimages/singlepackshot/768761C01_RGB.png")</f>
        <v>https://us.pandora.net/on/demandware.static/-/Sites-pandora-master-catalog/default/dwbb259ca6/productimages/singlepackshot/768761C01_RGB.png</v>
      </c>
    </row>
    <row r="2955" spans="1:4" x14ac:dyDescent="0.25">
      <c r="A2955" s="3" t="s">
        <v>2957</v>
      </c>
      <c r="B2955" s="4">
        <v>65</v>
      </c>
      <c r="C2955" s="3" t="str">
        <f ca="1">IFERROR(ROWSDUMMYFUNCTION(IF(A2955="","",IFERROR(IMAGE(CONCATENATE("https://us.pandora.net/on/demandware.static/-/Sites-pandora-master-catalog/default/dwbb259ca6/productimages/singlepackshot/",LEFT(A2955,FIND("-",A2955&amp;"-")-1),"_RGB.png")),""))),"{""url"":""https://us.pandora.net/on/demandware.static/-/Sites-pandora-master-catalog/default/dwbb259ca6/productimages/singlepackshot/768785C01_RGB.png"",""mode"":1}")</f>
        <v>{"url":"https://us.pandora.net/on/demandware.static/-/Sites-pandora-master-catalog/default/dwbb259ca6/productimages/singlepackshot/768785C01_RGB.png","mode":1}</v>
      </c>
      <c r="D2955" s="5" t="str">
        <f ca="1">IFERROR(ROWSDUMMYFUNCTION(IF(A2955="","",CONCATENATE("https://us.pandora.net/on/demandware.static/-/Sites-pandora-master-catalog/default/dwbb259ca6/productimages/singlepackshot/",LEFT(A2955,FIND("-",A2955&amp;"-")-1),"_RGB.png"))),"https://us.pandora.net/on/demandware.static/-/Sites-pandora-master-catalog/default/dwbb259ca6/productimages/singlepackshot/768785C01_RGB.png")</f>
        <v>https://us.pandora.net/on/demandware.static/-/Sites-pandora-master-catalog/default/dwbb259ca6/productimages/singlepackshot/768785C01_RGB.png</v>
      </c>
    </row>
    <row r="2956" spans="1:4" x14ac:dyDescent="0.25">
      <c r="A2956" s="3" t="s">
        <v>2958</v>
      </c>
      <c r="B2956" s="4">
        <v>39</v>
      </c>
      <c r="C2956" s="3" t="str">
        <f ca="1">IFERROR(ROWSDUMMYFUNCTION(IF(A2956="","",IFERROR(IMAGE(CONCATENATE("https://us.pandora.net/on/demandware.static/-/Sites-pandora-master-catalog/default/dwbb259ca6/productimages/singlepackshot/",LEFT(A2956,FIND("-",A2956&amp;"-")-1),"_RGB.png")),""))),"{""url"":""https://us.pandora.net/on/demandware.static/-/Sites-pandora-master-catalog/default/dwbb259ca6/productimages/singlepackshot/768869C00_RGB.png"",""mode"":1}")</f>
        <v>{"url":"https://us.pandora.net/on/demandware.static/-/Sites-pandora-master-catalog/default/dwbb259ca6/productimages/singlepackshot/768869C00_RGB.png","mode":1}</v>
      </c>
      <c r="D2956" s="5" t="str">
        <f ca="1">IFERROR(ROWSDUMMYFUNCTION(IF(A2956="","",CONCATENATE("https://us.pandora.net/on/demandware.static/-/Sites-pandora-master-catalog/default/dwbb259ca6/productimages/singlepackshot/",LEFT(A2956,FIND("-",A2956&amp;"-")-1),"_RGB.png"))),"https://us.pandora.net/on/demandware.static/-/Sites-pandora-master-catalog/default/dwbb259ca6/productimages/singlepackshot/768869C00_RGB.png")</f>
        <v>https://us.pandora.net/on/demandware.static/-/Sites-pandora-master-catalog/default/dwbb259ca6/productimages/singlepackshot/768869C00_RGB.png</v>
      </c>
    </row>
    <row r="2957" spans="1:4" x14ac:dyDescent="0.25">
      <c r="A2957" s="3" t="s">
        <v>2959</v>
      </c>
      <c r="B2957" s="4">
        <v>79</v>
      </c>
      <c r="C2957" s="3" t="str">
        <f ca="1">IFERROR(ROWSDUMMYFUNCTION(IF(A2957="","",IFERROR(IMAGE(CONCATENATE("https://us.pandora.net/on/demandware.static/-/Sites-pandora-master-catalog/default/dwbb259ca6/productimages/singlepackshot/",LEFT(A2957,FIND("-",A2957&amp;"-")-1),"_RGB.png")),""))),"{""url"":""https://us.pandora.net/on/demandware.static/-/Sites-pandora-master-catalog/default/dwbb259ca6/productimages/singlepackshot/768939C01_RGB.png"",""mode"":1}")</f>
        <v>{"url":"https://us.pandora.net/on/demandware.static/-/Sites-pandora-master-catalog/default/dwbb259ca6/productimages/singlepackshot/768939C01_RGB.png","mode":1}</v>
      </c>
      <c r="D2957" s="5" t="str">
        <f ca="1">IFERROR(ROWSDUMMYFUNCTION(IF(A2957="","",CONCATENATE("https://us.pandora.net/on/demandware.static/-/Sites-pandora-master-catalog/default/dwbb259ca6/productimages/singlepackshot/",LEFT(A2957,FIND("-",A2957&amp;"-")-1),"_RGB.png"))),"https://us.pandora.net/on/demandware.static/-/Sites-pandora-master-catalog/default/dwbb259ca6/productimages/singlepackshot/768939C01_RGB.png")</f>
        <v>https://us.pandora.net/on/demandware.static/-/Sites-pandora-master-catalog/default/dwbb259ca6/productimages/singlepackshot/768939C01_RGB.png</v>
      </c>
    </row>
    <row r="2958" spans="1:4" x14ac:dyDescent="0.25">
      <c r="A2958" s="3" t="s">
        <v>2960</v>
      </c>
      <c r="B2958" s="4">
        <v>49</v>
      </c>
      <c r="C2958" s="3" t="str">
        <f ca="1">IFERROR(ROWSDUMMYFUNCTION(IF(A2958="","",IFERROR(IMAGE(CONCATENATE("https://us.pandora.net/on/demandware.static/-/Sites-pandora-master-catalog/default/dwbb259ca6/productimages/singlepackshot/",LEFT(A2958,FIND("-",A2958&amp;"-")-1),"_RGB.png")),""))),"{""url"":""https://us.pandora.net/on/demandware.static/-/Sites-pandora-master-catalog/default/dwbb259ca6/productimages/singlepackshot/769144C00_RGB.png"",""mode"":1}")</f>
        <v>{"url":"https://us.pandora.net/on/demandware.static/-/Sites-pandora-master-catalog/default/dwbb259ca6/productimages/singlepackshot/769144C00_RGB.png","mode":1}</v>
      </c>
      <c r="D2958" s="5" t="str">
        <f ca="1">IFERROR(ROWSDUMMYFUNCTION(IF(A2958="","",CONCATENATE("https://us.pandora.net/on/demandware.static/-/Sites-pandora-master-catalog/default/dwbb259ca6/productimages/singlepackshot/",LEFT(A2958,FIND("-",A2958&amp;"-")-1),"_RGB.png"))),"https://us.pandora.net/on/demandware.static/-/Sites-pandora-master-catalog/default/dwbb259ca6/productimages/singlepackshot/769144C00_RGB.png")</f>
        <v>https://us.pandora.net/on/demandware.static/-/Sites-pandora-master-catalog/default/dwbb259ca6/productimages/singlepackshot/769144C00_RGB.png</v>
      </c>
    </row>
    <row r="2959" spans="1:4" x14ac:dyDescent="0.25">
      <c r="A2959" s="3" t="s">
        <v>2961</v>
      </c>
      <c r="B2959" s="4">
        <v>79</v>
      </c>
      <c r="C2959" s="3" t="str">
        <f ca="1">IFERROR(ROWSDUMMYFUNCTION(IF(A2959="","",IFERROR(IMAGE(CONCATENATE("https://us.pandora.net/on/demandware.static/-/Sites-pandora-master-catalog/default/dwbb259ca6/productimages/singlepackshot/",LEFT(A2959,FIND("-",A2959&amp;"-")-1),"_RGB.png")),""))),"{""url"":""https://us.pandora.net/on/demandware.static/-/Sites-pandora-master-catalog/default/dwbb259ca6/productimages/singlepackshot/769187C01_RGB.png"",""mode"":1}")</f>
        <v>{"url":"https://us.pandora.net/on/demandware.static/-/Sites-pandora-master-catalog/default/dwbb259ca6/productimages/singlepackshot/769187C01_RGB.png","mode":1}</v>
      </c>
      <c r="D2959" s="5" t="str">
        <f ca="1">IFERROR(ROWSDUMMYFUNCTION(IF(A2959="","",CONCATENATE("https://us.pandora.net/on/demandware.static/-/Sites-pandora-master-catalog/default/dwbb259ca6/productimages/singlepackshot/",LEFT(A2959,FIND("-",A2959&amp;"-")-1),"_RGB.png"))),"https://us.pandora.net/on/demandware.static/-/Sites-pandora-master-catalog/default/dwbb259ca6/productimages/singlepackshot/769187C01_RGB.png")</f>
        <v>https://us.pandora.net/on/demandware.static/-/Sites-pandora-master-catalog/default/dwbb259ca6/productimages/singlepackshot/769187C01_RGB.png</v>
      </c>
    </row>
    <row r="2960" spans="1:4" x14ac:dyDescent="0.25">
      <c r="A2960" s="3" t="s">
        <v>2962</v>
      </c>
      <c r="B2960" s="4">
        <v>69</v>
      </c>
      <c r="C2960" s="3" t="str">
        <f ca="1">IFERROR(ROWSDUMMYFUNCTION(IF(A2960="","",IFERROR(IMAGE(CONCATENATE("https://us.pandora.net/on/demandware.static/-/Sites-pandora-master-catalog/default/dwbb259ca6/productimages/singlepackshot/",LEFT(A2960,FIND("-",A2960&amp;"-")-1),"_RGB.png")),""))),"{""url"":""https://us.pandora.net/on/demandware.static/-/Sites-pandora-master-catalog/default/dwbb259ca6/productimages/singlepackshot/769270C01_RGB.png"",""mode"":1}")</f>
        <v>{"url":"https://us.pandora.net/on/demandware.static/-/Sites-pandora-master-catalog/default/dwbb259ca6/productimages/singlepackshot/769270C01_RGB.png","mode":1}</v>
      </c>
      <c r="D2960" s="5" t="str">
        <f ca="1">IFERROR(ROWSDUMMYFUNCTION(IF(A2960="","",CONCATENATE("https://us.pandora.net/on/demandware.static/-/Sites-pandora-master-catalog/default/dwbb259ca6/productimages/singlepackshot/",LEFT(A2960,FIND("-",A2960&amp;"-")-1),"_RGB.png"))),"https://us.pandora.net/on/demandware.static/-/Sites-pandora-master-catalog/default/dwbb259ca6/productimages/singlepackshot/769270C01_RGB.png")</f>
        <v>https://us.pandora.net/on/demandware.static/-/Sites-pandora-master-catalog/default/dwbb259ca6/productimages/singlepackshot/769270C01_RGB.png</v>
      </c>
    </row>
    <row r="2961" spans="1:4" x14ac:dyDescent="0.25">
      <c r="A2961" s="3" t="s">
        <v>2963</v>
      </c>
      <c r="B2961" s="4">
        <v>69</v>
      </c>
      <c r="C2961" s="3" t="str">
        <f ca="1">IFERROR(ROWSDUMMYFUNCTION(IF(A2961="","",IFERROR(IMAGE(CONCATENATE("https://us.pandora.net/on/demandware.static/-/Sites-pandora-master-catalog/default/dwbb259ca6/productimages/singlepackshot/",LEFT(A2961,FIND("-",A2961&amp;"-")-1),"_RGB.png")),""))),"{""url"":""https://us.pandora.net/on/demandware.static/-/Sites-pandora-master-catalog/default/dwbb259ca6/productimages/singlepackshot/769271C01_RGB.png"",""mode"":1}")</f>
        <v>{"url":"https://us.pandora.net/on/demandware.static/-/Sites-pandora-master-catalog/default/dwbb259ca6/productimages/singlepackshot/769271C01_RGB.png","mode":1}</v>
      </c>
      <c r="D2961" s="5" t="str">
        <f ca="1">IFERROR(ROWSDUMMYFUNCTION(IF(A2961="","",CONCATENATE("https://us.pandora.net/on/demandware.static/-/Sites-pandora-master-catalog/default/dwbb259ca6/productimages/singlepackshot/",LEFT(A2961,FIND("-",A2961&amp;"-")-1),"_RGB.png"))),"https://us.pandora.net/on/demandware.static/-/Sites-pandora-master-catalog/default/dwbb259ca6/productimages/singlepackshot/769271C01_RGB.png")</f>
        <v>https://us.pandora.net/on/demandware.static/-/Sites-pandora-master-catalog/default/dwbb259ca6/productimages/singlepackshot/769271C01_RGB.png</v>
      </c>
    </row>
    <row r="2962" spans="1:4" x14ac:dyDescent="0.25">
      <c r="A2962" s="3" t="s">
        <v>2964</v>
      </c>
      <c r="B2962" s="4">
        <v>69</v>
      </c>
      <c r="C2962" s="3" t="str">
        <f ca="1">IFERROR(ROWSDUMMYFUNCTION(IF(A2962="","",IFERROR(IMAGE(CONCATENATE("https://us.pandora.net/on/demandware.static/-/Sites-pandora-master-catalog/default/dwbb259ca6/productimages/singlepackshot/",LEFT(A2962,FIND("-",A2962&amp;"-")-1),"_RGB.png")),""))),"{""url"":""https://us.pandora.net/on/demandware.static/-/Sites-pandora-master-catalog/default/dwbb259ca6/productimages/singlepackshot/769352C01_RGB.png"",""mode"":1}")</f>
        <v>{"url":"https://us.pandora.net/on/demandware.static/-/Sites-pandora-master-catalog/default/dwbb259ca6/productimages/singlepackshot/769352C01_RGB.png","mode":1}</v>
      </c>
      <c r="D2962" s="5" t="str">
        <f ca="1">IFERROR(ROWSDUMMYFUNCTION(IF(A2962="","",CONCATENATE("https://us.pandora.net/on/demandware.static/-/Sites-pandora-master-catalog/default/dwbb259ca6/productimages/singlepackshot/",LEFT(A2962,FIND("-",A2962&amp;"-")-1),"_RGB.png"))),"https://us.pandora.net/on/demandware.static/-/Sites-pandora-master-catalog/default/dwbb259ca6/productimages/singlepackshot/769352C01_RGB.png")</f>
        <v>https://us.pandora.net/on/demandware.static/-/Sites-pandora-master-catalog/default/dwbb259ca6/productimages/singlepackshot/769352C01_RGB.png</v>
      </c>
    </row>
    <row r="2963" spans="1:4" x14ac:dyDescent="0.25">
      <c r="A2963" s="3" t="s">
        <v>2965</v>
      </c>
      <c r="B2963" s="4">
        <v>79</v>
      </c>
      <c r="C2963" s="3" t="str">
        <f ca="1">IFERROR(ROWSDUMMYFUNCTION(IF(A2963="","",IFERROR(IMAGE(CONCATENATE("https://us.pandora.net/on/demandware.static/-/Sites-pandora-master-catalog/default/dwbb259ca6/productimages/singlepackshot/",LEFT(A2963,FIND("-",A2963&amp;"-")-1),"_RGB.png")),""))),"{""url"":""https://us.pandora.net/on/demandware.static/-/Sites-pandora-master-catalog/default/dwbb259ca6/productimages/singlepackshot/769434C01_RGB.png"",""mode"":1}")</f>
        <v>{"url":"https://us.pandora.net/on/demandware.static/-/Sites-pandora-master-catalog/default/dwbb259ca6/productimages/singlepackshot/769434C01_RGB.png","mode":1}</v>
      </c>
      <c r="D2963" s="5" t="str">
        <f ca="1">IFERROR(ROWSDUMMYFUNCTION(IF(A2963="","",CONCATENATE("https://us.pandora.net/on/demandware.static/-/Sites-pandora-master-catalog/default/dwbb259ca6/productimages/singlepackshot/",LEFT(A2963,FIND("-",A2963&amp;"-")-1),"_RGB.png"))),"https://us.pandora.net/on/demandware.static/-/Sites-pandora-master-catalog/default/dwbb259ca6/productimages/singlepackshot/769434C01_RGB.png")</f>
        <v>https://us.pandora.net/on/demandware.static/-/Sites-pandora-master-catalog/default/dwbb259ca6/productimages/singlepackshot/769434C01_RGB.png</v>
      </c>
    </row>
    <row r="2964" spans="1:4" x14ac:dyDescent="0.25">
      <c r="A2964" s="3" t="s">
        <v>2966</v>
      </c>
      <c r="B2964" s="4">
        <v>89</v>
      </c>
      <c r="C2964" s="3" t="str">
        <f ca="1">IFERROR(ROWSDUMMYFUNCTION(IF(A2964="","",IFERROR(IMAGE(CONCATENATE("https://us.pandora.net/on/demandware.static/-/Sites-pandora-master-catalog/default/dwbb259ca6/productimages/singlepackshot/",LEFT(A2964,FIND("-",A2964&amp;"-")-1),"_RGB.png")),""))),"{""url"":""https://us.pandora.net/on/demandware.static/-/Sites-pandora-master-catalog/default/dwbb259ca6/productimages/singlepackshot/769435C01_RGB.png"",""mode"":1}")</f>
        <v>{"url":"https://us.pandora.net/on/demandware.static/-/Sites-pandora-master-catalog/default/dwbb259ca6/productimages/singlepackshot/769435C01_RGB.png","mode":1}</v>
      </c>
      <c r="D2964" s="5" t="str">
        <f ca="1">IFERROR(ROWSDUMMYFUNCTION(IF(A2964="","",CONCATENATE("https://us.pandora.net/on/demandware.static/-/Sites-pandora-master-catalog/default/dwbb259ca6/productimages/singlepackshot/",LEFT(A2964,FIND("-",A2964&amp;"-")-1),"_RGB.png"))),"https://us.pandora.net/on/demandware.static/-/Sites-pandora-master-catalog/default/dwbb259ca6/productimages/singlepackshot/769435C01_RGB.png")</f>
        <v>https://us.pandora.net/on/demandware.static/-/Sites-pandora-master-catalog/default/dwbb259ca6/productimages/singlepackshot/769435C01_RGB.png</v>
      </c>
    </row>
    <row r="2965" spans="1:4" x14ac:dyDescent="0.25">
      <c r="A2965" s="3" t="s">
        <v>2967</v>
      </c>
      <c r="B2965" s="4">
        <v>59</v>
      </c>
      <c r="C2965" s="3" t="str">
        <f ca="1">IFERROR(ROWSDUMMYFUNCTION(IF(A2965="","",IFERROR(IMAGE(CONCATENATE("https://us.pandora.net/on/demandware.static/-/Sites-pandora-master-catalog/default/dwbb259ca6/productimages/singlepackshot/",LEFT(A2965,FIND("-",A2965&amp;"-")-1),"_RGB.png")),""))),"{""url"":""https://us.pandora.net/on/demandware.static/-/Sites-pandora-master-catalog/default/dwbb259ca6/productimages/singlepackshot/769660C01_RGB.png"",""mode"":1}")</f>
        <v>{"url":"https://us.pandora.net/on/demandware.static/-/Sites-pandora-master-catalog/default/dwbb259ca6/productimages/singlepackshot/769660C01_RGB.png","mode":1}</v>
      </c>
      <c r="D2965" s="5" t="str">
        <f ca="1">IFERROR(ROWSDUMMYFUNCTION(IF(A2965="","",CONCATENATE("https://us.pandora.net/on/demandware.static/-/Sites-pandora-master-catalog/default/dwbb259ca6/productimages/singlepackshot/",LEFT(A2965,FIND("-",A2965&amp;"-")-1),"_RGB.png"))),"https://us.pandora.net/on/demandware.static/-/Sites-pandora-master-catalog/default/dwbb259ca6/productimages/singlepackshot/769660C01_RGB.png")</f>
        <v>https://us.pandora.net/on/demandware.static/-/Sites-pandora-master-catalog/default/dwbb259ca6/productimages/singlepackshot/769660C01_RGB.png</v>
      </c>
    </row>
    <row r="2966" spans="1:4" x14ac:dyDescent="0.25">
      <c r="A2966" s="3" t="s">
        <v>2968</v>
      </c>
      <c r="B2966" s="4">
        <v>65</v>
      </c>
      <c r="C2966" s="3" t="str">
        <f ca="1">IFERROR(ROWSDUMMYFUNCTION(IF(A2966="","",IFERROR(IMAGE(CONCATENATE("https://us.pandora.net/on/demandware.static/-/Sites-pandora-master-catalog/default/dwbb259ca6/productimages/singlepackshot/",LEFT(A2966,FIND("-",A2966&amp;"-")-1),"_RGB.png")),""))),"{""url"":""https://us.pandora.net/on/demandware.static/-/Sites-pandora-master-catalog/default/dwbb259ca6/productimages/singlepackshot/780087C01_RGB.png"",""mode"":1}")</f>
        <v>{"url":"https://us.pandora.net/on/demandware.static/-/Sites-pandora-master-catalog/default/dwbb259ca6/productimages/singlepackshot/780087C01_RGB.png","mode":1}</v>
      </c>
      <c r="D2966" s="5" t="str">
        <f ca="1">IFERROR(ROWSDUMMYFUNCTION(IF(A2966="","",CONCATENATE("https://us.pandora.net/on/demandware.static/-/Sites-pandora-master-catalog/default/dwbb259ca6/productimages/singlepackshot/",LEFT(A2966,FIND("-",A2966&amp;"-")-1),"_RGB.png"))),"https://us.pandora.net/on/demandware.static/-/Sites-pandora-master-catalog/default/dwbb259ca6/productimages/singlepackshot/780087C01_RGB.png")</f>
        <v>https://us.pandora.net/on/demandware.static/-/Sites-pandora-master-catalog/default/dwbb259ca6/productimages/singlepackshot/780087C01_RGB.png</v>
      </c>
    </row>
    <row r="2967" spans="1:4" x14ac:dyDescent="0.25">
      <c r="A2967" s="3" t="s">
        <v>2969</v>
      </c>
      <c r="B2967" s="4">
        <v>79</v>
      </c>
      <c r="C2967" s="3" t="str">
        <f ca="1">IFERROR(ROWSDUMMYFUNCTION(IF(A2967="","",IFERROR(IMAGE(CONCATENATE("https://us.pandora.net/on/demandware.static/-/Sites-pandora-master-catalog/default/dwbb259ca6/productimages/singlepackshot/",LEFT(A2967,FIND("-",A2967&amp;"-")-1),"_RGB.png")),""))),"{""url"":""https://us.pandora.net/on/demandware.static/-/Sites-pandora-master-catalog/default/dwbb259ca6/productimages/singlepackshot/780088C01_RGB.png"",""mode"":1}")</f>
        <v>{"url":"https://us.pandora.net/on/demandware.static/-/Sites-pandora-master-catalog/default/dwbb259ca6/productimages/singlepackshot/780088C01_RGB.png","mode":1}</v>
      </c>
      <c r="D2967" s="5" t="str">
        <f ca="1">IFERROR(ROWSDUMMYFUNCTION(IF(A2967="","",CONCATENATE("https://us.pandora.net/on/demandware.static/-/Sites-pandora-master-catalog/default/dwbb259ca6/productimages/singlepackshot/",LEFT(A2967,FIND("-",A2967&amp;"-")-1),"_RGB.png"))),"https://us.pandora.net/on/demandware.static/-/Sites-pandora-master-catalog/default/dwbb259ca6/productimages/singlepackshot/780088C01_RGB.png")</f>
        <v>https://us.pandora.net/on/demandware.static/-/Sites-pandora-master-catalog/default/dwbb259ca6/productimages/singlepackshot/780088C01_RGB.png</v>
      </c>
    </row>
    <row r="2968" spans="1:4" x14ac:dyDescent="0.25">
      <c r="A2968" s="3" t="s">
        <v>2970</v>
      </c>
      <c r="B2968" s="4">
        <v>79</v>
      </c>
      <c r="C2968" s="3" t="str">
        <f ca="1">IFERROR(ROWSDUMMYFUNCTION(IF(A2968="","",IFERROR(IMAGE(CONCATENATE("https://us.pandora.net/on/demandware.static/-/Sites-pandora-master-catalog/default/dwbb259ca6/productimages/singlepackshot/",LEFT(A2968,FIND("-",A2968&amp;"-")-1),"_RGB.png")),""))),"{""url"":""https://us.pandora.net/on/demandware.static/-/Sites-pandora-master-catalog/default/dwbb259ca6/productimages/singlepackshot/780112C01_RGB.png"",""mode"":1}")</f>
        <v>{"url":"https://us.pandora.net/on/demandware.static/-/Sites-pandora-master-catalog/default/dwbb259ca6/productimages/singlepackshot/780112C01_RGB.png","mode":1}</v>
      </c>
      <c r="D2968" s="5" t="str">
        <f ca="1">IFERROR(ROWSDUMMYFUNCTION(IF(A2968="","",CONCATENATE("https://us.pandora.net/on/demandware.static/-/Sites-pandora-master-catalog/default/dwbb259ca6/productimages/singlepackshot/",LEFT(A2968,FIND("-",A2968&amp;"-")-1),"_RGB.png"))),"https://us.pandora.net/on/demandware.static/-/Sites-pandora-master-catalog/default/dwbb259ca6/productimages/singlepackshot/780112C01_RGB.png")</f>
        <v>https://us.pandora.net/on/demandware.static/-/Sites-pandora-master-catalog/default/dwbb259ca6/productimages/singlepackshot/780112C01_RGB.png</v>
      </c>
    </row>
    <row r="2969" spans="1:4" x14ac:dyDescent="0.25">
      <c r="A2969" s="3" t="s">
        <v>2971</v>
      </c>
      <c r="B2969" s="4">
        <v>39</v>
      </c>
      <c r="C2969" s="3" t="str">
        <f ca="1">IFERROR(ROWSDUMMYFUNCTION(IF(A2969="","",IFERROR(IMAGE(CONCATENATE("https://us.pandora.net/on/demandware.static/-/Sites-pandora-master-catalog/default/dwbb259ca6/productimages/singlepackshot/",LEFT(A2969,FIND("-",A2969&amp;"-")-1),"_RGB.png")),""))),"{""url"":""https://us.pandora.net/on/demandware.static/-/Sites-pandora-master-catalog/default/dwbb259ca6/productimages/singlepackshot/780964_RGB.png"",""mode"":1}")</f>
        <v>{"url":"https://us.pandora.net/on/demandware.static/-/Sites-pandora-master-catalog/default/dwbb259ca6/productimages/singlepackshot/780964_RGB.png","mode":1}</v>
      </c>
      <c r="D2969" s="5" t="str">
        <f ca="1">IFERROR(ROWSDUMMYFUNCTION(IF(A2969="","",CONCATENATE("https://us.pandora.net/on/demandware.static/-/Sites-pandora-master-catalog/default/dwbb259ca6/productimages/singlepackshot/",LEFT(A2969,FIND("-",A2969&amp;"-")-1),"_RGB.png"))),"https://us.pandora.net/on/demandware.static/-/Sites-pandora-master-catalog/default/dwbb259ca6/productimages/singlepackshot/780964_RGB.png")</f>
        <v>https://us.pandora.net/on/demandware.static/-/Sites-pandora-master-catalog/default/dwbb259ca6/productimages/singlepackshot/780964_RGB.png</v>
      </c>
    </row>
    <row r="2970" spans="1:4" x14ac:dyDescent="0.25">
      <c r="A2970" s="3" t="s">
        <v>2972</v>
      </c>
      <c r="B2970" s="4">
        <v>59</v>
      </c>
      <c r="C2970" s="3" t="str">
        <f ca="1">IFERROR(ROWSDUMMYFUNCTION(IF(A2970="","",IFERROR(IMAGE(CONCATENATE("https://us.pandora.net/on/demandware.static/-/Sites-pandora-master-catalog/default/dwbb259ca6/productimages/singlepackshot/",LEFT(A2970,FIND("-",A2970&amp;"-")-1),"_RGB.png")),""))),"{""url"":""https://us.pandora.net/on/demandware.static/-/Sites-pandora-master-catalog/default/dwbb259ca6/productimages/singlepackshot/781142C01_RGB.png"",""mode"":1}")</f>
        <v>{"url":"https://us.pandora.net/on/demandware.static/-/Sites-pandora-master-catalog/default/dwbb259ca6/productimages/singlepackshot/781142C01_RGB.png","mode":1}</v>
      </c>
      <c r="D2970" s="5" t="str">
        <f ca="1">IFERROR(ROWSDUMMYFUNCTION(IF(A2970="","",CONCATENATE("https://us.pandora.net/on/demandware.static/-/Sites-pandora-master-catalog/default/dwbb259ca6/productimages/singlepackshot/",LEFT(A2970,FIND("-",A2970&amp;"-")-1),"_RGB.png"))),"https://us.pandora.net/on/demandware.static/-/Sites-pandora-master-catalog/default/dwbb259ca6/productimages/singlepackshot/781142C01_RGB.png")</f>
        <v>https://us.pandora.net/on/demandware.static/-/Sites-pandora-master-catalog/default/dwbb259ca6/productimages/singlepackshot/781142C01_RGB.png</v>
      </c>
    </row>
    <row r="2971" spans="1:4" x14ac:dyDescent="0.25">
      <c r="A2971" s="3" t="s">
        <v>2973</v>
      </c>
      <c r="B2971" s="4">
        <v>75</v>
      </c>
      <c r="C2971" s="3" t="str">
        <f ca="1">IFERROR(ROWSDUMMYFUNCTION(IF(A2971="","",IFERROR(IMAGE(CONCATENATE("https://us.pandora.net/on/demandware.static/-/Sites-pandora-master-catalog/default/dwbb259ca6/productimages/singlepackshot/",LEFT(A2971,FIND("-",A2971&amp;"-")-1),"_RGB.png")),""))),"{""url"":""https://us.pandora.net/on/demandware.static/-/Sites-pandora-master-catalog/default/dwbb259ca6/productimages/singlepackshot/781490C01_RGB.png"",""mode"":1}")</f>
        <v>{"url":"https://us.pandora.net/on/demandware.static/-/Sites-pandora-master-catalog/default/dwbb259ca6/productimages/singlepackshot/781490C01_RGB.png","mode":1}</v>
      </c>
      <c r="D2971" s="5" t="str">
        <f ca="1">IFERROR(ROWSDUMMYFUNCTION(IF(A2971="","",CONCATENATE("https://us.pandora.net/on/demandware.static/-/Sites-pandora-master-catalog/default/dwbb259ca6/productimages/singlepackshot/",LEFT(A2971,FIND("-",A2971&amp;"-")-1),"_RGB.png"))),"https://us.pandora.net/on/demandware.static/-/Sites-pandora-master-catalog/default/dwbb259ca6/productimages/singlepackshot/781490C01_RGB.png")</f>
        <v>https://us.pandora.net/on/demandware.static/-/Sites-pandora-master-catalog/default/dwbb259ca6/productimages/singlepackshot/781490C01_RGB.png</v>
      </c>
    </row>
    <row r="2972" spans="1:4" x14ac:dyDescent="0.25">
      <c r="A2972" s="3" t="s">
        <v>2974</v>
      </c>
      <c r="B2972" s="4">
        <v>69</v>
      </c>
      <c r="C2972" s="3" t="str">
        <f ca="1">IFERROR(ROWSDUMMYFUNCTION(IF(A2972="","",IFERROR(IMAGE(CONCATENATE("https://us.pandora.net/on/demandware.static/-/Sites-pandora-master-catalog/default/dwbb259ca6/productimages/singlepackshot/",LEFT(A2972,FIND("-",A2972&amp;"-")-1),"_RGB.png")),""))),"{""url"":""https://us.pandora.net/on/demandware.static/-/Sites-pandora-master-catalog/default/dwbb259ca6/productimages/singlepackshot/781682C01_RGB.png"",""mode"":1}")</f>
        <v>{"url":"https://us.pandora.net/on/demandware.static/-/Sites-pandora-master-catalog/default/dwbb259ca6/productimages/singlepackshot/781682C01_RGB.png","mode":1}</v>
      </c>
      <c r="D2972" s="5" t="str">
        <f ca="1">IFERROR(ROWSDUMMYFUNCTION(IF(A2972="","",CONCATENATE("https://us.pandora.net/on/demandware.static/-/Sites-pandora-master-catalog/default/dwbb259ca6/productimages/singlepackshot/",LEFT(A2972,FIND("-",A2972&amp;"-")-1),"_RGB.png"))),"https://us.pandora.net/on/demandware.static/-/Sites-pandora-master-catalog/default/dwbb259ca6/productimages/singlepackshot/781682C01_RGB.png")</f>
        <v>https://us.pandora.net/on/demandware.static/-/Sites-pandora-master-catalog/default/dwbb259ca6/productimages/singlepackshot/781682C01_RGB.png</v>
      </c>
    </row>
    <row r="2973" spans="1:4" x14ac:dyDescent="0.25">
      <c r="A2973" s="3" t="s">
        <v>2975</v>
      </c>
      <c r="B2973" s="4">
        <v>79</v>
      </c>
      <c r="C2973" s="3" t="str">
        <f ca="1">IFERROR(ROWSDUMMYFUNCTION(IF(A2973="","",IFERROR(IMAGE(CONCATENATE("https://us.pandora.net/on/demandware.static/-/Sites-pandora-master-catalog/default/dwbb259ca6/productimages/singlepackshot/",LEFT(A2973,FIND("-",A2973&amp;"-")-1),"_RGB.png")),""))),"{""url"":""https://us.pandora.net/on/demandware.static/-/Sites-pandora-master-catalog/default/dwbb259ca6/productimages/singlepackshot/781714C01_RGB.png"",""mode"":1}")</f>
        <v>{"url":"https://us.pandora.net/on/demandware.static/-/Sites-pandora-master-catalog/default/dwbb259ca6/productimages/singlepackshot/781714C01_RGB.png","mode":1}</v>
      </c>
      <c r="D2973" s="5" t="str">
        <f ca="1">IFERROR(ROWSDUMMYFUNCTION(IF(A2973="","",CONCATENATE("https://us.pandora.net/on/demandware.static/-/Sites-pandora-master-catalog/default/dwbb259ca6/productimages/singlepackshot/",LEFT(A2973,FIND("-",A2973&amp;"-")-1),"_RGB.png"))),"https://us.pandora.net/on/demandware.static/-/Sites-pandora-master-catalog/default/dwbb259ca6/productimages/singlepackshot/781714C01_RGB.png")</f>
        <v>https://us.pandora.net/on/demandware.static/-/Sites-pandora-master-catalog/default/dwbb259ca6/productimages/singlepackshot/781714C01_RGB.png</v>
      </c>
    </row>
    <row r="2974" spans="1:4" x14ac:dyDescent="0.25">
      <c r="A2974" s="3" t="s">
        <v>2976</v>
      </c>
      <c r="B2974" s="4">
        <v>89</v>
      </c>
      <c r="C2974" s="3" t="str">
        <f ca="1">IFERROR(ROWSDUMMYFUNCTION(IF(A2974="","",IFERROR(IMAGE(CONCATENATE("https://us.pandora.net/on/demandware.static/-/Sites-pandora-master-catalog/default/dwbb259ca6/productimages/singlepackshot/",LEFT(A2974,FIND("-",A2974&amp;"-")-1),"_RGB.png")),""))),"{""url"":""https://us.pandora.net/on/demandware.static/-/Sites-pandora-master-catalog/default/dwbb259ca6/productimages/singlepackshot/781728CZ_RGB.png"",""mode"":1}")</f>
        <v>{"url":"https://us.pandora.net/on/demandware.static/-/Sites-pandora-master-catalog/default/dwbb259ca6/productimages/singlepackshot/781728CZ_RGB.png","mode":1}</v>
      </c>
      <c r="D2974" s="5" t="str">
        <f ca="1">IFERROR(ROWSDUMMYFUNCTION(IF(A2974="","",CONCATENATE("https://us.pandora.net/on/demandware.static/-/Sites-pandora-master-catalog/default/dwbb259ca6/productimages/singlepackshot/",LEFT(A2974,FIND("-",A2974&amp;"-")-1),"_RGB.png"))),"https://us.pandora.net/on/demandware.static/-/Sites-pandora-master-catalog/default/dwbb259ca6/productimages/singlepackshot/781728CZ_RGB.png")</f>
        <v>https://us.pandora.net/on/demandware.static/-/Sites-pandora-master-catalog/default/dwbb259ca6/productimages/singlepackshot/781728CZ_RGB.png</v>
      </c>
    </row>
    <row r="2975" spans="1:4" x14ac:dyDescent="0.25">
      <c r="A2975" s="3" t="s">
        <v>2977</v>
      </c>
      <c r="B2975" s="4">
        <v>65</v>
      </c>
      <c r="C2975" s="3" t="str">
        <f ca="1">IFERROR(ROWSDUMMYFUNCTION(IF(A2975="","",IFERROR(IMAGE(CONCATENATE("https://us.pandora.net/on/demandware.static/-/Sites-pandora-master-catalog/default/dwbb259ca6/productimages/singlepackshot/",LEFT(A2975,FIND("-",A2975&amp;"-")-1),"_RGB.png")),""))),"{""url"":""https://us.pandora.net/on/demandware.static/-/Sites-pandora-master-catalog/default/dwbb259ca6/productimages/singlepackshot/781817CZ_RGB.png"",""mode"":1}")</f>
        <v>{"url":"https://us.pandora.net/on/demandware.static/-/Sites-pandora-master-catalog/default/dwbb259ca6/productimages/singlepackshot/781817CZ_RGB.png","mode":1}</v>
      </c>
      <c r="D2975" s="5" t="str">
        <f ca="1">IFERROR(ROWSDUMMYFUNCTION(IF(A2975="","",CONCATENATE("https://us.pandora.net/on/demandware.static/-/Sites-pandora-master-catalog/default/dwbb259ca6/productimages/singlepackshot/",LEFT(A2975,FIND("-",A2975&amp;"-")-1),"_RGB.png"))),"https://us.pandora.net/on/demandware.static/-/Sites-pandora-master-catalog/default/dwbb259ca6/productimages/singlepackshot/781817CZ_RGB.png")</f>
        <v>https://us.pandora.net/on/demandware.static/-/Sites-pandora-master-catalog/default/dwbb259ca6/productimages/singlepackshot/781817CZ_RGB.png</v>
      </c>
    </row>
    <row r="2976" spans="1:4" x14ac:dyDescent="0.25">
      <c r="A2976" s="3" t="s">
        <v>2978</v>
      </c>
      <c r="B2976" s="4">
        <v>59</v>
      </c>
      <c r="C2976" s="3" t="str">
        <f ca="1">IFERROR(ROWSDUMMYFUNCTION(IF(A2976="","",IFERROR(IMAGE(CONCATENATE("https://us.pandora.net/on/demandware.static/-/Sites-pandora-master-catalog/default/dwbb259ca6/productimages/singlepackshot/",LEFT(A2976,FIND("-",A2976&amp;"-")-1),"_RGB.png")),""))),"{""url"":""https://us.pandora.net/on/demandware.static/-/Sites-pandora-master-catalog/default/dwbb259ca6/productimages/singlepackshot/781817PCZ_RGB.png"",""mode"":1}")</f>
        <v>{"url":"https://us.pandora.net/on/demandware.static/-/Sites-pandora-master-catalog/default/dwbb259ca6/productimages/singlepackshot/781817PCZ_RGB.png","mode":1}</v>
      </c>
      <c r="D2976" s="5" t="str">
        <f ca="1">IFERROR(ROWSDUMMYFUNCTION(IF(A2976="","",CONCATENATE("https://us.pandora.net/on/demandware.static/-/Sites-pandora-master-catalog/default/dwbb259ca6/productimages/singlepackshot/",LEFT(A2976,FIND("-",A2976&amp;"-")-1),"_RGB.png"))),"https://us.pandora.net/on/demandware.static/-/Sites-pandora-master-catalog/default/dwbb259ca6/productimages/singlepackshot/781817PCZ_RGB.png")</f>
        <v>https://us.pandora.net/on/demandware.static/-/Sites-pandora-master-catalog/default/dwbb259ca6/productimages/singlepackshot/781817PCZ_RGB.png</v>
      </c>
    </row>
    <row r="2977" spans="1:4" x14ac:dyDescent="0.25">
      <c r="A2977" s="3" t="s">
        <v>2979</v>
      </c>
      <c r="B2977" s="4">
        <v>59</v>
      </c>
      <c r="C2977" s="3" t="str">
        <f ca="1">IFERROR(ROWSDUMMYFUNCTION(IF(A2977="","",IFERROR(IMAGE(CONCATENATE("https://us.pandora.net/on/demandware.static/-/Sites-pandora-master-catalog/default/dwbb259ca6/productimages/singlepackshot/",LEFT(A2977,FIND("-",A2977&amp;"-")-1),"_RGB.png")),""))),"{""url"":""https://us.pandora.net/on/demandware.static/-/Sites-pandora-master-catalog/default/dwbb259ca6/productimages/singlepackshot/781972CZ_RGB.png"",""mode"":1}")</f>
        <v>{"url":"https://us.pandora.net/on/demandware.static/-/Sites-pandora-master-catalog/default/dwbb259ca6/productimages/singlepackshot/781972CZ_RGB.png","mode":1}</v>
      </c>
      <c r="D2977" s="5" t="str">
        <f ca="1">IFERROR(ROWSDUMMYFUNCTION(IF(A2977="","",CONCATENATE("https://us.pandora.net/on/demandware.static/-/Sites-pandora-master-catalog/default/dwbb259ca6/productimages/singlepackshot/",LEFT(A2977,FIND("-",A2977&amp;"-")-1),"_RGB.png"))),"https://us.pandora.net/on/demandware.static/-/Sites-pandora-master-catalog/default/dwbb259ca6/productimages/singlepackshot/781972CZ_RGB.png")</f>
        <v>https://us.pandora.net/on/demandware.static/-/Sites-pandora-master-catalog/default/dwbb259ca6/productimages/singlepackshot/781972CZ_RGB.png</v>
      </c>
    </row>
    <row r="2978" spans="1:4" x14ac:dyDescent="0.25">
      <c r="A2978" s="3" t="s">
        <v>2980</v>
      </c>
      <c r="B2978" s="4">
        <v>59</v>
      </c>
      <c r="C2978" s="3" t="str">
        <f ca="1">IFERROR(ROWSDUMMYFUNCTION(IF(A2978="","",IFERROR(IMAGE(CONCATENATE("https://us.pandora.net/on/demandware.static/-/Sites-pandora-master-catalog/default/dwbb259ca6/productimages/singlepackshot/",LEFT(A2978,FIND("-",A2978&amp;"-")-1),"_RGB.png")),""))),"{""url"":""https://us.pandora.net/on/demandware.static/-/Sites-pandora-master-catalog/default/dwbb259ca6/productimages/singlepackshot/782015C00_RGB.png"",""mode"":1}")</f>
        <v>{"url":"https://us.pandora.net/on/demandware.static/-/Sites-pandora-master-catalog/default/dwbb259ca6/productimages/singlepackshot/782015C00_RGB.png","mode":1}</v>
      </c>
      <c r="D2978" s="5" t="str">
        <f ca="1">IFERROR(ROWSDUMMYFUNCTION(IF(A2978="","",CONCATENATE("https://us.pandora.net/on/demandware.static/-/Sites-pandora-master-catalog/default/dwbb259ca6/productimages/singlepackshot/",LEFT(A2978,FIND("-",A2978&amp;"-")-1),"_RGB.png"))),"https://us.pandora.net/on/demandware.static/-/Sites-pandora-master-catalog/default/dwbb259ca6/productimages/singlepackshot/782015C00_RGB.png")</f>
        <v>https://us.pandora.net/on/demandware.static/-/Sites-pandora-master-catalog/default/dwbb259ca6/productimages/singlepackshot/782015C00_RGB.png</v>
      </c>
    </row>
    <row r="2979" spans="1:4" x14ac:dyDescent="0.25">
      <c r="A2979" s="3" t="s">
        <v>2981</v>
      </c>
      <c r="B2979" s="4">
        <v>69</v>
      </c>
      <c r="C2979" s="3" t="str">
        <f ca="1">IFERROR(ROWSDUMMYFUNCTION(IF(A2979="","",IFERROR(IMAGE(CONCATENATE("https://us.pandora.net/on/demandware.static/-/Sites-pandora-master-catalog/default/dwbb259ca6/productimages/singlepackshot/",LEFT(A2979,FIND("-",A2979&amp;"-")-1),"_RGB.png")),""))),"{""url"":""https://us.pandora.net/on/demandware.static/-/Sites-pandora-master-catalog/default/dwbb259ca6/productimages/singlepackshot/782208C01_RGB.png"",""mode"":1}")</f>
        <v>{"url":"https://us.pandora.net/on/demandware.static/-/Sites-pandora-master-catalog/default/dwbb259ca6/productimages/singlepackshot/782208C01_RGB.png","mode":1}</v>
      </c>
      <c r="D2979" s="5" t="str">
        <f ca="1">IFERROR(ROWSDUMMYFUNCTION(IF(A2979="","",CONCATENATE("https://us.pandora.net/on/demandware.static/-/Sites-pandora-master-catalog/default/dwbb259ca6/productimages/singlepackshot/",LEFT(A2979,FIND("-",A2979&amp;"-")-1),"_RGB.png"))),"https://us.pandora.net/on/demandware.static/-/Sites-pandora-master-catalog/default/dwbb259ca6/productimages/singlepackshot/782208C01_RGB.png")</f>
        <v>https://us.pandora.net/on/demandware.static/-/Sites-pandora-master-catalog/default/dwbb259ca6/productimages/singlepackshot/782208C01_RGB.png</v>
      </c>
    </row>
    <row r="2980" spans="1:4" x14ac:dyDescent="0.25">
      <c r="A2980" s="3" t="s">
        <v>2982</v>
      </c>
      <c r="B2980" s="4">
        <v>49</v>
      </c>
      <c r="C2980" s="3" t="str">
        <f ca="1">IFERROR(ROWSDUMMYFUNCTION(IF(A2980="","",IFERROR(IMAGE(CONCATENATE("https://us.pandora.net/on/demandware.static/-/Sites-pandora-master-catalog/default/dwbb259ca6/productimages/singlepackshot/",LEFT(A2980,FIND("-",A2980&amp;"-")-1),"_RGB.png")),""))),"{""url"":""https://us.pandora.net/on/demandware.static/-/Sites-pandora-master-catalog/default/dwbb259ca6/productimages/singlepackshot/782243C00_RGB.png"",""mode"":1}")</f>
        <v>{"url":"https://us.pandora.net/on/demandware.static/-/Sites-pandora-master-catalog/default/dwbb259ca6/productimages/singlepackshot/782243C00_RGB.png","mode":1}</v>
      </c>
      <c r="D2980" s="5" t="str">
        <f ca="1">IFERROR(ROWSDUMMYFUNCTION(IF(A2980="","",CONCATENATE("https://us.pandora.net/on/demandware.static/-/Sites-pandora-master-catalog/default/dwbb259ca6/productimages/singlepackshot/",LEFT(A2980,FIND("-",A2980&amp;"-")-1),"_RGB.png"))),"https://us.pandora.net/on/demandware.static/-/Sites-pandora-master-catalog/default/dwbb259ca6/productimages/singlepackshot/782243C00_RGB.png")</f>
        <v>https://us.pandora.net/on/demandware.static/-/Sites-pandora-master-catalog/default/dwbb259ca6/productimages/singlepackshot/782243C00_RGB.png</v>
      </c>
    </row>
    <row r="2981" spans="1:4" x14ac:dyDescent="0.25">
      <c r="A2981" s="3" t="s">
        <v>2983</v>
      </c>
      <c r="B2981" s="4">
        <v>49</v>
      </c>
      <c r="C2981" s="3" t="str">
        <f ca="1">IFERROR(ROWSDUMMYFUNCTION(IF(A2981="","",IFERROR(IMAGE(CONCATENATE("https://us.pandora.net/on/demandware.static/-/Sites-pandora-master-catalog/default/dwbb259ca6/productimages/singlepackshot/",LEFT(A2981,FIND("-",A2981&amp;"-")-1),"_RGB.png")),""))),"{""url"":""https://us.pandora.net/on/demandware.static/-/Sites-pandora-master-catalog/default/dwbb259ca6/productimages/singlepackshot/782244C00_RGB.png"",""mode"":1}")</f>
        <v>{"url":"https://us.pandora.net/on/demandware.static/-/Sites-pandora-master-catalog/default/dwbb259ca6/productimages/singlepackshot/782244C00_RGB.png","mode":1}</v>
      </c>
      <c r="D2981" s="5" t="str">
        <f ca="1">IFERROR(ROWSDUMMYFUNCTION(IF(A2981="","",CONCATENATE("https://us.pandora.net/on/demandware.static/-/Sites-pandora-master-catalog/default/dwbb259ca6/productimages/singlepackshot/",LEFT(A2981,FIND("-",A2981&amp;"-")-1),"_RGB.png"))),"https://us.pandora.net/on/demandware.static/-/Sites-pandora-master-catalog/default/dwbb259ca6/productimages/singlepackshot/782244C00_RGB.png")</f>
        <v>https://us.pandora.net/on/demandware.static/-/Sites-pandora-master-catalog/default/dwbb259ca6/productimages/singlepackshot/782244C00_RGB.png</v>
      </c>
    </row>
    <row r="2982" spans="1:4" x14ac:dyDescent="0.25">
      <c r="A2982" s="3" t="s">
        <v>2984</v>
      </c>
      <c r="B2982" s="4">
        <v>49</v>
      </c>
      <c r="C2982" s="3" t="str">
        <f ca="1">IFERROR(ROWSDUMMYFUNCTION(IF(A2982="","",IFERROR(IMAGE(CONCATENATE("https://us.pandora.net/on/demandware.static/-/Sites-pandora-master-catalog/default/dwbb259ca6/productimages/singlepackshot/",LEFT(A2982,FIND("-",A2982&amp;"-")-1),"_RGB.png")),""))),"{""url"":""https://us.pandora.net/on/demandware.static/-/Sites-pandora-master-catalog/default/dwbb259ca6/productimages/singlepackshot/782327C00_RGB.png"",""mode"":1}")</f>
        <v>{"url":"https://us.pandora.net/on/demandware.static/-/Sites-pandora-master-catalog/default/dwbb259ca6/productimages/singlepackshot/782327C00_RGB.png","mode":1}</v>
      </c>
      <c r="D2982" s="5" t="str">
        <f ca="1">IFERROR(ROWSDUMMYFUNCTION(IF(A2982="","",CONCATENATE("https://us.pandora.net/on/demandware.static/-/Sites-pandora-master-catalog/default/dwbb259ca6/productimages/singlepackshot/",LEFT(A2982,FIND("-",A2982&amp;"-")-1),"_RGB.png"))),"https://us.pandora.net/on/demandware.static/-/Sites-pandora-master-catalog/default/dwbb259ca6/productimages/singlepackshot/782327C00_RGB.png")</f>
        <v>https://us.pandora.net/on/demandware.static/-/Sites-pandora-master-catalog/default/dwbb259ca6/productimages/singlepackshot/782327C00_RGB.png</v>
      </c>
    </row>
    <row r="2983" spans="1:4" x14ac:dyDescent="0.25">
      <c r="A2983" s="3" t="s">
        <v>2985</v>
      </c>
      <c r="B2983" s="4">
        <v>65</v>
      </c>
      <c r="C2983" s="3" t="str">
        <f ca="1">IFERROR(ROWSDUMMYFUNCTION(IF(A2983="","",IFERROR(IMAGE(CONCATENATE("https://us.pandora.net/on/demandware.static/-/Sites-pandora-master-catalog/default/dwbb259ca6/productimages/singlepackshot/",LEFT(A2983,FIND("-",A2983&amp;"-")-1),"_RGB.png")),""))),"{""url"":""https://us.pandora.net/on/demandware.static/-/Sites-pandora-master-catalog/default/dwbb259ca6/productimages/singlepackshot/782506C01_RGB.png"",""mode"":1}")</f>
        <v>{"url":"https://us.pandora.net/on/demandware.static/-/Sites-pandora-master-catalog/default/dwbb259ca6/productimages/singlepackshot/782506C01_RGB.png","mode":1}</v>
      </c>
      <c r="D2983" s="5" t="str">
        <f ca="1">IFERROR(ROWSDUMMYFUNCTION(IF(A2983="","",CONCATENATE("https://us.pandora.net/on/demandware.static/-/Sites-pandora-master-catalog/default/dwbb259ca6/productimages/singlepackshot/",LEFT(A2983,FIND("-",A2983&amp;"-")-1),"_RGB.png"))),"https://us.pandora.net/on/demandware.static/-/Sites-pandora-master-catalog/default/dwbb259ca6/productimages/singlepackshot/782506C01_RGB.png")</f>
        <v>https://us.pandora.net/on/demandware.static/-/Sites-pandora-master-catalog/default/dwbb259ca6/productimages/singlepackshot/782506C01_RGB.png</v>
      </c>
    </row>
    <row r="2984" spans="1:4" x14ac:dyDescent="0.25">
      <c r="A2984" s="3" t="s">
        <v>2986</v>
      </c>
      <c r="B2984" s="4">
        <v>69</v>
      </c>
      <c r="C2984" s="3" t="str">
        <f ca="1">IFERROR(ROWSDUMMYFUNCTION(IF(A2984="","",IFERROR(IMAGE(CONCATENATE("https://us.pandora.net/on/demandware.static/-/Sites-pandora-master-catalog/default/dwbb259ca6/productimages/singlepackshot/",LEFT(A2984,FIND("-",A2984&amp;"-")-1),"_RGB.png")),""))),"{""url"":""https://us.pandora.net/on/demandware.static/-/Sites-pandora-master-catalog/default/dwbb259ca6/productimages/singlepackshot/782555C01_RGB.png"",""mode"":1}")</f>
        <v>{"url":"https://us.pandora.net/on/demandware.static/-/Sites-pandora-master-catalog/default/dwbb259ca6/productimages/singlepackshot/782555C01_RGB.png","mode":1}</v>
      </c>
      <c r="D2984" s="5" t="str">
        <f ca="1">IFERROR(ROWSDUMMYFUNCTION(IF(A2984="","",CONCATENATE("https://us.pandora.net/on/demandware.static/-/Sites-pandora-master-catalog/default/dwbb259ca6/productimages/singlepackshot/",LEFT(A2984,FIND("-",A2984&amp;"-")-1),"_RGB.png"))),"https://us.pandora.net/on/demandware.static/-/Sites-pandora-master-catalog/default/dwbb259ca6/productimages/singlepackshot/782555C01_RGB.png")</f>
        <v>https://us.pandora.net/on/demandware.static/-/Sites-pandora-master-catalog/default/dwbb259ca6/productimages/singlepackshot/782555C01_RGB.png</v>
      </c>
    </row>
    <row r="2985" spans="1:4" x14ac:dyDescent="0.25">
      <c r="A2985" s="3" t="s">
        <v>2987</v>
      </c>
      <c r="B2985" s="4">
        <v>89</v>
      </c>
      <c r="C2985" s="3" t="str">
        <f ca="1">IFERROR(ROWSDUMMYFUNCTION(IF(A2985="","",IFERROR(IMAGE(CONCATENATE("https://us.pandora.net/on/demandware.static/-/Sites-pandora-master-catalog/default/dwbb259ca6/productimages/singlepackshot/",LEFT(A2985,FIND("-",A2985&amp;"-")-1),"_RGB.png")),""))),"{""url"":""https://us.pandora.net/on/demandware.static/-/Sites-pandora-master-catalog/default/dwbb259ca6/productimages/singlepackshot/782615C01_RGB.png"",""mode"":1}")</f>
        <v>{"url":"https://us.pandora.net/on/demandware.static/-/Sites-pandora-master-catalog/default/dwbb259ca6/productimages/singlepackshot/782615C01_RGB.png","mode":1}</v>
      </c>
      <c r="D2985" s="5" t="str">
        <f ca="1">IFERROR(ROWSDUMMYFUNCTION(IF(A2985="","",CONCATENATE("https://us.pandora.net/on/demandware.static/-/Sites-pandora-master-catalog/default/dwbb259ca6/productimages/singlepackshot/",LEFT(A2985,FIND("-",A2985&amp;"-")-1),"_RGB.png"))),"https://us.pandora.net/on/demandware.static/-/Sites-pandora-master-catalog/default/dwbb259ca6/productimages/singlepackshot/782615C01_RGB.png")</f>
        <v>https://us.pandora.net/on/demandware.static/-/Sites-pandora-master-catalog/default/dwbb259ca6/productimages/singlepackshot/782615C01_RGB.png</v>
      </c>
    </row>
    <row r="2986" spans="1:4" x14ac:dyDescent="0.25">
      <c r="A2986" s="3" t="s">
        <v>2988</v>
      </c>
      <c r="B2986" s="4">
        <v>29</v>
      </c>
      <c r="C2986" s="3" t="str">
        <f ca="1">IFERROR(ROWSDUMMYFUNCTION(IF(A2986="","",IFERROR(IMAGE(CONCATENATE("https://us.pandora.net/on/demandware.static/-/Sites-pandora-master-catalog/default/dwbb259ca6/productimages/singlepackshot/",LEFT(A2986,FIND("-",A2986&amp;"-")-1),"_RGB.png")),""))),"{""url"":""https://us.pandora.net/on/demandware.static/-/Sites-pandora-master-catalog/default/dwbb259ca6/productimages/singlepackshot/782642C00_RGB.png"",""mode"":1}")</f>
        <v>{"url":"https://us.pandora.net/on/demandware.static/-/Sites-pandora-master-catalog/default/dwbb259ca6/productimages/singlepackshot/782642C00_RGB.png","mode":1}</v>
      </c>
      <c r="D2986" s="5" t="str">
        <f ca="1">IFERROR(ROWSDUMMYFUNCTION(IF(A2986="","",CONCATENATE("https://us.pandora.net/on/demandware.static/-/Sites-pandora-master-catalog/default/dwbb259ca6/productimages/singlepackshot/",LEFT(A2986,FIND("-",A2986&amp;"-")-1),"_RGB.png"))),"https://us.pandora.net/on/demandware.static/-/Sites-pandora-master-catalog/default/dwbb259ca6/productimages/singlepackshot/782642C00_RGB.png")</f>
        <v>https://us.pandora.net/on/demandware.static/-/Sites-pandora-master-catalog/default/dwbb259ca6/productimages/singlepackshot/782642C00_RGB.png</v>
      </c>
    </row>
    <row r="2987" spans="1:4" x14ac:dyDescent="0.25">
      <c r="A2987" s="3" t="s">
        <v>2989</v>
      </c>
      <c r="B2987" s="4">
        <v>79</v>
      </c>
      <c r="C2987" s="3" t="str">
        <f ca="1">IFERROR(ROWSDUMMYFUNCTION(IF(A2987="","",IFERROR(IMAGE(CONCATENATE("https://us.pandora.net/on/demandware.static/-/Sites-pandora-master-catalog/default/dwbb259ca6/productimages/singlepackshot/",LEFT(A2987,FIND("-",A2987&amp;"-")-1),"_RGB.png")),""))),"{""url"":""https://us.pandora.net/on/demandware.static/-/Sites-pandora-master-catalog/default/dwbb259ca6/productimages/singlepackshot/782698C01_RGB.png"",""mode"":1}")</f>
        <v>{"url":"https://us.pandora.net/on/demandware.static/-/Sites-pandora-master-catalog/default/dwbb259ca6/productimages/singlepackshot/782698C01_RGB.png","mode":1}</v>
      </c>
      <c r="D2987" s="5" t="str">
        <f ca="1">IFERROR(ROWSDUMMYFUNCTION(IF(A2987="","",CONCATENATE("https://us.pandora.net/on/demandware.static/-/Sites-pandora-master-catalog/default/dwbb259ca6/productimages/singlepackshot/",LEFT(A2987,FIND("-",A2987&amp;"-")-1),"_RGB.png"))),"https://us.pandora.net/on/demandware.static/-/Sites-pandora-master-catalog/default/dwbb259ca6/productimages/singlepackshot/782698C01_RGB.png")</f>
        <v>https://us.pandora.net/on/demandware.static/-/Sites-pandora-master-catalog/default/dwbb259ca6/productimages/singlepackshot/782698C01_RGB.png</v>
      </c>
    </row>
    <row r="2988" spans="1:4" x14ac:dyDescent="0.25">
      <c r="A2988" s="3" t="s">
        <v>2990</v>
      </c>
      <c r="B2988" s="4">
        <v>49</v>
      </c>
      <c r="C2988" s="3" t="str">
        <f ca="1">IFERROR(ROWSDUMMYFUNCTION(IF(A2988="","",IFERROR(IMAGE(CONCATENATE("https://us.pandora.net/on/demandware.static/-/Sites-pandora-master-catalog/default/dwbb259ca6/productimages/singlepackshot/",LEFT(A2988,FIND("-",A2988&amp;"-")-1),"_RGB.png")),""))),"{""url"":""https://us.pandora.net/on/demandware.static/-/Sites-pandora-master-catalog/default/dwbb259ca6/productimages/singlepackshot/782716C00_RGB.png"",""mode"":1}")</f>
        <v>{"url":"https://us.pandora.net/on/demandware.static/-/Sites-pandora-master-catalog/default/dwbb259ca6/productimages/singlepackshot/782716C00_RGB.png","mode":1}</v>
      </c>
      <c r="D2988" s="5" t="str">
        <f ca="1">IFERROR(ROWSDUMMYFUNCTION(IF(A2988="","",CONCATENATE("https://us.pandora.net/on/demandware.static/-/Sites-pandora-master-catalog/default/dwbb259ca6/productimages/singlepackshot/",LEFT(A2988,FIND("-",A2988&amp;"-")-1),"_RGB.png"))),"https://us.pandora.net/on/demandware.static/-/Sites-pandora-master-catalog/default/dwbb259ca6/productimages/singlepackshot/782716C00_RGB.png")</f>
        <v>https://us.pandora.net/on/demandware.static/-/Sites-pandora-master-catalog/default/dwbb259ca6/productimages/singlepackshot/782716C00_RGB.png</v>
      </c>
    </row>
    <row r="2989" spans="1:4" x14ac:dyDescent="0.25">
      <c r="A2989" s="3" t="s">
        <v>2991</v>
      </c>
      <c r="B2989" s="4">
        <v>79</v>
      </c>
      <c r="C2989" s="3" t="str">
        <f ca="1">IFERROR(ROWSDUMMYFUNCTION(IF(A2989="","",IFERROR(IMAGE(CONCATENATE("https://us.pandora.net/on/demandware.static/-/Sites-pandora-master-catalog/default/dwbb259ca6/productimages/singlepackshot/",LEFT(A2989,FIND("-",A2989&amp;"-")-1),"_RGB.png")),""))),"{""url"":""https://us.pandora.net/on/demandware.static/-/Sites-pandora-master-catalog/default/dwbb259ca6/productimages/singlepackshot/782816C01_RGB.png"",""mode"":1}")</f>
        <v>{"url":"https://us.pandora.net/on/demandware.static/-/Sites-pandora-master-catalog/default/dwbb259ca6/productimages/singlepackshot/782816C01_RGB.png","mode":1}</v>
      </c>
      <c r="D2989" s="5" t="str">
        <f ca="1">IFERROR(ROWSDUMMYFUNCTION(IF(A2989="","",CONCATENATE("https://us.pandora.net/on/demandware.static/-/Sites-pandora-master-catalog/default/dwbb259ca6/productimages/singlepackshot/",LEFT(A2989,FIND("-",A2989&amp;"-")-1),"_RGB.png"))),"https://us.pandora.net/on/demandware.static/-/Sites-pandora-master-catalog/default/dwbb259ca6/productimages/singlepackshot/782816C01_RGB.png")</f>
        <v>https://us.pandora.net/on/demandware.static/-/Sites-pandora-master-catalog/default/dwbb259ca6/productimages/singlepackshot/782816C01_RGB.png</v>
      </c>
    </row>
    <row r="2990" spans="1:4" x14ac:dyDescent="0.25">
      <c r="A2990" s="3" t="s">
        <v>2992</v>
      </c>
      <c r="B2990" s="4">
        <v>69</v>
      </c>
      <c r="C2990" s="3" t="str">
        <f ca="1">IFERROR(ROWSDUMMYFUNCTION(IF(A2990="","",IFERROR(IMAGE(CONCATENATE("https://us.pandora.net/on/demandware.static/-/Sites-pandora-master-catalog/default/dwbb259ca6/productimages/singlepackshot/",LEFT(A2990,FIND("-",A2990&amp;"-")-1),"_RGB.png")),""))),"{""url"":""https://us.pandora.net/on/demandware.static/-/Sites-pandora-master-catalog/default/dwbb259ca6/productimages/singlepackshot/782820C01_RGB.png"",""mode"":1}")</f>
        <v>{"url":"https://us.pandora.net/on/demandware.static/-/Sites-pandora-master-catalog/default/dwbb259ca6/productimages/singlepackshot/782820C01_RGB.png","mode":1}</v>
      </c>
      <c r="D2990" s="5" t="str">
        <f ca="1">IFERROR(ROWSDUMMYFUNCTION(IF(A2990="","",CONCATENATE("https://us.pandora.net/on/demandware.static/-/Sites-pandora-master-catalog/default/dwbb259ca6/productimages/singlepackshot/",LEFT(A2990,FIND("-",A2990&amp;"-")-1),"_RGB.png"))),"https://us.pandora.net/on/demandware.static/-/Sites-pandora-master-catalog/default/dwbb259ca6/productimages/singlepackshot/782820C01_RGB.png")</f>
        <v>https://us.pandora.net/on/demandware.static/-/Sites-pandora-master-catalog/default/dwbb259ca6/productimages/singlepackshot/782820C01_RGB.png</v>
      </c>
    </row>
    <row r="2991" spans="1:4" x14ac:dyDescent="0.25">
      <c r="A2991" s="3" t="s">
        <v>2993</v>
      </c>
      <c r="B2991" s="4">
        <v>39</v>
      </c>
      <c r="C2991" s="3" t="str">
        <f ca="1">IFERROR(ROWSDUMMYFUNCTION(IF(A2991="","",IFERROR(IMAGE(CONCATENATE("https://us.pandora.net/on/demandware.static/-/Sites-pandora-master-catalog/default/dwbb259ca6/productimages/singlepackshot/",LEFT(A2991,FIND("-",A2991&amp;"-")-1),"_RGB.png")),""))),"{""url"":""https://us.pandora.net/on/demandware.static/-/Sites-pandora-master-catalog/default/dwbb259ca6/productimages/singlepackshot/783042C01_RGB.png"",""mode"":1}")</f>
        <v>{"url":"https://us.pandora.net/on/demandware.static/-/Sites-pandora-master-catalog/default/dwbb259ca6/productimages/singlepackshot/783042C01_RGB.png","mode":1}</v>
      </c>
      <c r="D2991" s="5" t="str">
        <f ca="1">IFERROR(ROWSDUMMYFUNCTION(IF(A2991="","",CONCATENATE("https://us.pandora.net/on/demandware.static/-/Sites-pandora-master-catalog/default/dwbb259ca6/productimages/singlepackshot/",LEFT(A2991,FIND("-",A2991&amp;"-")-1),"_RGB.png"))),"https://us.pandora.net/on/demandware.static/-/Sites-pandora-master-catalog/default/dwbb259ca6/productimages/singlepackshot/783042C01_RGB.png")</f>
        <v>https://us.pandora.net/on/demandware.static/-/Sites-pandora-master-catalog/default/dwbb259ca6/productimages/singlepackshot/783042C01_RGB.png</v>
      </c>
    </row>
    <row r="2992" spans="1:4" x14ac:dyDescent="0.25">
      <c r="A2992" s="3" t="s">
        <v>2994</v>
      </c>
      <c r="B2992" s="4">
        <v>79</v>
      </c>
      <c r="C2992" s="3" t="str">
        <f ca="1">IFERROR(ROWSDUMMYFUNCTION(IF(A2992="","",IFERROR(IMAGE(CONCATENATE("https://us.pandora.net/on/demandware.static/-/Sites-pandora-master-catalog/default/dwbb259ca6/productimages/singlepackshot/",LEFT(A2992,FIND("-",A2992&amp;"-")-1),"_RGB.png")),""))),"{""url"":""https://us.pandora.net/on/demandware.static/-/Sites-pandora-master-catalog/default/dwbb259ca6/productimages/singlepackshot/783066C01_RGB.png"",""mode"":1}")</f>
        <v>{"url":"https://us.pandora.net/on/demandware.static/-/Sites-pandora-master-catalog/default/dwbb259ca6/productimages/singlepackshot/783066C01_RGB.png","mode":1}</v>
      </c>
      <c r="D2992" s="5" t="str">
        <f ca="1">IFERROR(ROWSDUMMYFUNCTION(IF(A2992="","",CONCATENATE("https://us.pandora.net/on/demandware.static/-/Sites-pandora-master-catalog/default/dwbb259ca6/productimages/singlepackshot/",LEFT(A2992,FIND("-",A2992&amp;"-")-1),"_RGB.png"))),"https://us.pandora.net/on/demandware.static/-/Sites-pandora-master-catalog/default/dwbb259ca6/productimages/singlepackshot/783066C01_RGB.png")</f>
        <v>https://us.pandora.net/on/demandware.static/-/Sites-pandora-master-catalog/default/dwbb259ca6/productimages/singlepackshot/783066C01_RGB.png</v>
      </c>
    </row>
    <row r="2993" spans="1:4" x14ac:dyDescent="0.25">
      <c r="A2993" s="3" t="s">
        <v>2995</v>
      </c>
      <c r="B2993" s="4">
        <v>65</v>
      </c>
      <c r="C2993" s="3" t="str">
        <f ca="1">IFERROR(ROWSDUMMYFUNCTION(IF(A2993="","",IFERROR(IMAGE(CONCATENATE("https://us.pandora.net/on/demandware.static/-/Sites-pandora-master-catalog/default/dwbb259ca6/productimages/singlepackshot/",LEFT(A2993,FIND("-",A2993&amp;"-")-1),"_RGB.png")),""))),"{""url"":""https://us.pandora.net/on/demandware.static/-/Sites-pandora-master-catalog/default/dwbb259ca6/productimages/singlepackshot/783079C01_RGB.png"",""mode"":1}")</f>
        <v>{"url":"https://us.pandora.net/on/demandware.static/-/Sites-pandora-master-catalog/default/dwbb259ca6/productimages/singlepackshot/783079C01_RGB.png","mode":1}</v>
      </c>
      <c r="D2993" s="5" t="str">
        <f ca="1">IFERROR(ROWSDUMMYFUNCTION(IF(A2993="","",CONCATENATE("https://us.pandora.net/on/demandware.static/-/Sites-pandora-master-catalog/default/dwbb259ca6/productimages/singlepackshot/",LEFT(A2993,FIND("-",A2993&amp;"-")-1),"_RGB.png"))),"https://us.pandora.net/on/demandware.static/-/Sites-pandora-master-catalog/default/dwbb259ca6/productimages/singlepackshot/783079C01_RGB.png")</f>
        <v>https://us.pandora.net/on/demandware.static/-/Sites-pandora-master-catalog/default/dwbb259ca6/productimages/singlepackshot/783079C01_RGB.png</v>
      </c>
    </row>
    <row r="2994" spans="1:4" x14ac:dyDescent="0.25">
      <c r="A2994" s="3" t="s">
        <v>2996</v>
      </c>
      <c r="B2994" s="4">
        <v>59</v>
      </c>
      <c r="C2994" s="3" t="str">
        <f ca="1">IFERROR(ROWSDUMMYFUNCTION(IF(A2994="","",IFERROR(IMAGE(CONCATENATE("https://us.pandora.net/on/demandware.static/-/Sites-pandora-master-catalog/default/dwbb259ca6/productimages/singlepackshot/",LEFT(A2994,FIND("-",A2994&amp;"-")-1),"_RGB.png")),""))),"{""url"":""https://us.pandora.net/on/demandware.static/-/Sites-pandora-master-catalog/default/dwbb259ca6/productimages/singlepackshot/783080C01_RGB.png"",""mode"":1}")</f>
        <v>{"url":"https://us.pandora.net/on/demandware.static/-/Sites-pandora-master-catalog/default/dwbb259ca6/productimages/singlepackshot/783080C01_RGB.png","mode":1}</v>
      </c>
      <c r="D2994" s="5" t="str">
        <f ca="1">IFERROR(ROWSDUMMYFUNCTION(IF(A2994="","",CONCATENATE("https://us.pandora.net/on/demandware.static/-/Sites-pandora-master-catalog/default/dwbb259ca6/productimages/singlepackshot/",LEFT(A2994,FIND("-",A2994&amp;"-")-1),"_RGB.png"))),"https://us.pandora.net/on/demandware.static/-/Sites-pandora-master-catalog/default/dwbb259ca6/productimages/singlepackshot/783080C01_RGB.png")</f>
        <v>https://us.pandora.net/on/demandware.static/-/Sites-pandora-master-catalog/default/dwbb259ca6/productimages/singlepackshot/783080C01_RGB.png</v>
      </c>
    </row>
    <row r="2995" spans="1:4" x14ac:dyDescent="0.25">
      <c r="A2995" s="3" t="s">
        <v>2997</v>
      </c>
      <c r="B2995" s="4">
        <v>29</v>
      </c>
      <c r="C2995" s="3" t="str">
        <f ca="1">IFERROR(ROWSDUMMYFUNCTION(IF(A2995="","",IFERROR(IMAGE(CONCATENATE("https://us.pandora.net/on/demandware.static/-/Sites-pandora-master-catalog/default/dwbb259ca6/productimages/singlepackshot/",LEFT(A2995,FIND("-",A2995&amp;"-")-1),"_RGB.png")),""))),"{""url"":""https://us.pandora.net/on/demandware.static/-/Sites-pandora-master-catalog/default/dwbb259ca6/productimages/singlepackshot/783242C01_RGB.png"",""mode"":1}")</f>
        <v>{"url":"https://us.pandora.net/on/demandware.static/-/Sites-pandora-master-catalog/default/dwbb259ca6/productimages/singlepackshot/783242C01_RGB.png","mode":1}</v>
      </c>
      <c r="D2995" s="5" t="str">
        <f ca="1">IFERROR(ROWSDUMMYFUNCTION(IF(A2995="","",CONCATENATE("https://us.pandora.net/on/demandware.static/-/Sites-pandora-master-catalog/default/dwbb259ca6/productimages/singlepackshot/",LEFT(A2995,FIND("-",A2995&amp;"-")-1),"_RGB.png"))),"https://us.pandora.net/on/demandware.static/-/Sites-pandora-master-catalog/default/dwbb259ca6/productimages/singlepackshot/783242C01_RGB.png")</f>
        <v>https://us.pandora.net/on/demandware.static/-/Sites-pandora-master-catalog/default/dwbb259ca6/productimages/singlepackshot/783242C01_RGB.png</v>
      </c>
    </row>
    <row r="2996" spans="1:4" x14ac:dyDescent="0.25">
      <c r="A2996" s="3" t="s">
        <v>2998</v>
      </c>
      <c r="B2996" s="4">
        <v>79</v>
      </c>
      <c r="C2996" s="3" t="str">
        <f ca="1">IFERROR(ROWSDUMMYFUNCTION(IF(A2996="","",IFERROR(IMAGE(CONCATENATE("https://us.pandora.net/on/demandware.static/-/Sites-pandora-master-catalog/default/dwbb259ca6/productimages/singlepackshot/",LEFT(A2996,FIND("-",A2996&amp;"-")-1),"_RGB.png")),""))),"{""url"":""https://us.pandora.net/on/demandware.static/-/Sites-pandora-master-catalog/default/dwbb259ca6/productimages/singlepackshot/783250C01_RGB.png"",""mode"":1}")</f>
        <v>{"url":"https://us.pandora.net/on/demandware.static/-/Sites-pandora-master-catalog/default/dwbb259ca6/productimages/singlepackshot/783250C01_RGB.png","mode":1}</v>
      </c>
      <c r="D2996" s="5" t="str">
        <f ca="1">IFERROR(ROWSDUMMYFUNCTION(IF(A2996="","",CONCATENATE("https://us.pandora.net/on/demandware.static/-/Sites-pandora-master-catalog/default/dwbb259ca6/productimages/singlepackshot/",LEFT(A2996,FIND("-",A2996&amp;"-")-1),"_RGB.png"))),"https://us.pandora.net/on/demandware.static/-/Sites-pandora-master-catalog/default/dwbb259ca6/productimages/singlepackshot/783250C01_RGB.png")</f>
        <v>https://us.pandora.net/on/demandware.static/-/Sites-pandora-master-catalog/default/dwbb259ca6/productimages/singlepackshot/783250C01_RGB.png</v>
      </c>
    </row>
    <row r="2997" spans="1:4" x14ac:dyDescent="0.25">
      <c r="A2997" s="3" t="s">
        <v>2999</v>
      </c>
      <c r="B2997" s="4">
        <v>79</v>
      </c>
      <c r="C2997" s="3" t="str">
        <f ca="1">IFERROR(ROWSDUMMYFUNCTION(IF(A2997="","",IFERROR(IMAGE(CONCATENATE("https://us.pandora.net/on/demandware.static/-/Sites-pandora-master-catalog/default/dwbb259ca6/productimages/singlepackshot/",LEFT(A2997,FIND("-",A2997&amp;"-")-1),"_RGB.png")),""))),"{""url"":""https://us.pandora.net/on/demandware.static/-/Sites-pandora-master-catalog/default/dwbb259ca6/productimages/singlepackshot/786322CZ_RGB.png"",""mode"":1}")</f>
        <v>{"url":"https://us.pandora.net/on/demandware.static/-/Sites-pandora-master-catalog/default/dwbb259ca6/productimages/singlepackshot/786322CZ_RGB.png","mode":1}</v>
      </c>
      <c r="D2997" s="5" t="str">
        <f ca="1">IFERROR(ROWSDUMMYFUNCTION(IF(A2997="","",CONCATENATE("https://us.pandora.net/on/demandware.static/-/Sites-pandora-master-catalog/default/dwbb259ca6/productimages/singlepackshot/",LEFT(A2997,FIND("-",A2997&amp;"-")-1),"_RGB.png"))),"https://us.pandora.net/on/demandware.static/-/Sites-pandora-master-catalog/default/dwbb259ca6/productimages/singlepackshot/786322CZ_RGB.png")</f>
        <v>https://us.pandora.net/on/demandware.static/-/Sites-pandora-master-catalog/default/dwbb259ca6/productimages/singlepackshot/786322CZ_RGB.png</v>
      </c>
    </row>
    <row r="2998" spans="1:4" x14ac:dyDescent="0.25">
      <c r="A2998" s="3" t="s">
        <v>3000</v>
      </c>
      <c r="B2998" s="4">
        <v>55</v>
      </c>
      <c r="C2998" s="3" t="str">
        <f ca="1">IFERROR(ROWSDUMMYFUNCTION(IF(A2998="","",IFERROR(IMAGE(CONCATENATE("https://us.pandora.net/on/demandware.static/-/Sites-pandora-master-catalog/default/dwbb259ca6/productimages/singlepackshot/",LEFT(A2998,FIND("-",A2998&amp;"-")-1),"_RGB.png")),""))),"{""url"":""https://us.pandora.net/on/demandware.static/-/Sites-pandora-master-catalog/default/dwbb259ca6/productimages/singlepackshot/787247NLCMX_RGB.png"",""mode"":1}")</f>
        <v>{"url":"https://us.pandora.net/on/demandware.static/-/Sites-pandora-master-catalog/default/dwbb259ca6/productimages/singlepackshot/787247NLCMX_RGB.png","mode":1}</v>
      </c>
      <c r="D2998" s="5" t="str">
        <f ca="1">IFERROR(ROWSDUMMYFUNCTION(IF(A2998="","",CONCATENATE("https://us.pandora.net/on/demandware.static/-/Sites-pandora-master-catalog/default/dwbb259ca6/productimages/singlepackshot/",LEFT(A2998,FIND("-",A2998&amp;"-")-1),"_RGB.png"))),"https://us.pandora.net/on/demandware.static/-/Sites-pandora-master-catalog/default/dwbb259ca6/productimages/singlepackshot/787247NLCMX_RGB.png")</f>
        <v>https://us.pandora.net/on/demandware.static/-/Sites-pandora-master-catalog/default/dwbb259ca6/productimages/singlepackshot/787247NLCMX_RGB.png</v>
      </c>
    </row>
    <row r="2999" spans="1:4" x14ac:dyDescent="0.25">
      <c r="A2999" s="3" t="s">
        <v>3001</v>
      </c>
      <c r="B2999" s="4">
        <v>39</v>
      </c>
      <c r="C2999" s="3" t="str">
        <f ca="1">IFERROR(ROWSDUMMYFUNCTION(IF(A2999="","",IFERROR(IMAGE(CONCATENATE("https://us.pandora.net/on/demandware.static/-/Sites-pandora-master-catalog/default/dwbb259ca6/productimages/singlepackshot/",LEFT(A2999,FIND("-",A2999&amp;"-")-1),"_RGB.png")),""))),"{""url"":""https://us.pandora.net/on/demandware.static/-/Sites-pandora-master-catalog/default/dwbb259ca6/productimages/singlepackshot/787516_RGB.png"",""mode"":1}")</f>
        <v>{"url":"https://us.pandora.net/on/demandware.static/-/Sites-pandora-master-catalog/default/dwbb259ca6/productimages/singlepackshot/787516_RGB.png","mode":1}</v>
      </c>
      <c r="D2999" s="5" t="str">
        <f ca="1">IFERROR(ROWSDUMMYFUNCTION(IF(A2999="","",CONCATENATE("https://us.pandora.net/on/demandware.static/-/Sites-pandora-master-catalog/default/dwbb259ca6/productimages/singlepackshot/",LEFT(A2999,FIND("-",A2999&amp;"-")-1),"_RGB.png"))),"https://us.pandora.net/on/demandware.static/-/Sites-pandora-master-catalog/default/dwbb259ca6/productimages/singlepackshot/787516_RGB.png")</f>
        <v>https://us.pandora.net/on/demandware.static/-/Sites-pandora-master-catalog/default/dwbb259ca6/productimages/singlepackshot/787516_RGB.png</v>
      </c>
    </row>
    <row r="3000" spans="1:4" x14ac:dyDescent="0.25">
      <c r="A3000" s="3" t="s">
        <v>3002</v>
      </c>
      <c r="B3000" s="4">
        <v>65</v>
      </c>
      <c r="C3000" s="3" t="str">
        <f ca="1">IFERROR(ROWSDUMMYFUNCTION(IF(A3000="","",IFERROR(IMAGE(CONCATENATE("https://us.pandora.net/on/demandware.static/-/Sites-pandora-master-catalog/default/dwbb259ca6/productimages/singlepackshot/",LEFT(A3000,FIND("-",A3000&amp;"-")-1),"_RGB.png")),""))),"{""url"":""https://us.pandora.net/on/demandware.static/-/Sites-pandora-master-catalog/default/dwbb259ca6/productimages/singlepackshot/787785CZ_RGB.png"",""mode"":1}")</f>
        <v>{"url":"https://us.pandora.net/on/demandware.static/-/Sites-pandora-master-catalog/default/dwbb259ca6/productimages/singlepackshot/787785CZ_RGB.png","mode":1}</v>
      </c>
      <c r="D3000" s="5" t="str">
        <f ca="1">IFERROR(ROWSDUMMYFUNCTION(IF(A3000="","",CONCATENATE("https://us.pandora.net/on/demandware.static/-/Sites-pandora-master-catalog/default/dwbb259ca6/productimages/singlepackshot/",LEFT(A3000,FIND("-",A3000&amp;"-")-1),"_RGB.png"))),"https://us.pandora.net/on/demandware.static/-/Sites-pandora-master-catalog/default/dwbb259ca6/productimages/singlepackshot/787785CZ_RGB.png")</f>
        <v>https://us.pandora.net/on/demandware.static/-/Sites-pandora-master-catalog/default/dwbb259ca6/productimages/singlepackshot/787785CZ_RGB.png</v>
      </c>
    </row>
    <row r="3001" spans="1:4" x14ac:dyDescent="0.25">
      <c r="A3001" s="3" t="s">
        <v>3003</v>
      </c>
      <c r="B3001" s="4">
        <v>65</v>
      </c>
      <c r="C3001" s="3" t="str">
        <f ca="1">IFERROR(ROWSDUMMYFUNCTION(IF(A3001="","",IFERROR(IMAGE(CONCATENATE("https://us.pandora.net/on/demandware.static/-/Sites-pandora-master-catalog/default/dwbb259ca6/productimages/singlepackshot/",LEFT(A3001,FIND("-",A3001&amp;"-")-1),"_RGB.png")),""))),"{""url"":""https://us.pandora.net/on/demandware.static/-/Sites-pandora-master-catalog/default/dwbb259ca6/productimages/singlepackshot/788255_RGB.png"",""mode"":1}")</f>
        <v>{"url":"https://us.pandora.net/on/demandware.static/-/Sites-pandora-master-catalog/default/dwbb259ca6/productimages/singlepackshot/788255_RGB.png","mode":1}</v>
      </c>
      <c r="D3001" s="5" t="str">
        <f ca="1">IFERROR(ROWSDUMMYFUNCTION(IF(A3001="","",CONCATENATE("https://us.pandora.net/on/demandware.static/-/Sites-pandora-master-catalog/default/dwbb259ca6/productimages/singlepackshot/",LEFT(A3001,FIND("-",A3001&amp;"-")-1),"_RGB.png"))),"https://us.pandora.net/on/demandware.static/-/Sites-pandora-master-catalog/default/dwbb259ca6/productimages/singlepackshot/788255_RGB.png")</f>
        <v>https://us.pandora.net/on/demandware.static/-/Sites-pandora-master-catalog/default/dwbb259ca6/productimages/singlepackshot/788255_RGB.png</v>
      </c>
    </row>
    <row r="3002" spans="1:4" x14ac:dyDescent="0.25">
      <c r="A3002" s="3" t="s">
        <v>3004</v>
      </c>
      <c r="B3002" s="4">
        <v>75</v>
      </c>
      <c r="C3002" s="3" t="str">
        <f ca="1">IFERROR(ROWSDUMMYFUNCTION(IF(A3002="","",IFERROR(IMAGE(CONCATENATE("https://us.pandora.net/on/demandware.static/-/Sites-pandora-master-catalog/default/dwbb259ca6/productimages/singlepackshot/",LEFT(A3002,FIND("-",A3002&amp;"-")-1),"_RGB.png")),""))),"{""url"":""https://us.pandora.net/on/demandware.static/-/Sites-pandora-master-catalog/default/dwbb259ca6/productimages/singlepackshot/788313_RGB.png"",""mode"":1}")</f>
        <v>{"url":"https://us.pandora.net/on/demandware.static/-/Sites-pandora-master-catalog/default/dwbb259ca6/productimages/singlepackshot/788313_RGB.png","mode":1}</v>
      </c>
      <c r="D3002" s="5" t="str">
        <f ca="1">IFERROR(ROWSDUMMYFUNCTION(IF(A3002="","",CONCATENATE("https://us.pandora.net/on/demandware.static/-/Sites-pandora-master-catalog/default/dwbb259ca6/productimages/singlepackshot/",LEFT(A3002,FIND("-",A3002&amp;"-")-1),"_RGB.png"))),"https://us.pandora.net/on/demandware.static/-/Sites-pandora-master-catalog/default/dwbb259ca6/productimages/singlepackshot/788313_RGB.png")</f>
        <v>https://us.pandora.net/on/demandware.static/-/Sites-pandora-master-catalog/default/dwbb259ca6/productimages/singlepackshot/788313_RGB.png</v>
      </c>
    </row>
    <row r="3003" spans="1:4" x14ac:dyDescent="0.25">
      <c r="A3003" s="3" t="s">
        <v>3005</v>
      </c>
      <c r="B3003" s="4">
        <v>69</v>
      </c>
      <c r="C3003" s="3" t="str">
        <f ca="1">IFERROR(ROWSDUMMYFUNCTION(IF(A3003="","",IFERROR(IMAGE(CONCATENATE("https://us.pandora.net/on/demandware.static/-/Sites-pandora-master-catalog/default/dwbb259ca6/productimages/singlepackshot/",LEFT(A3003,FIND("-",A3003&amp;"-")-1),"_RGB.png")),""))),"{""url"":""https://us.pandora.net/on/demandware.static/-/Sites-pandora-master-catalog/default/dwbb259ca6/productimages/singlepackshot/788692C01_RGB.png"",""mode"":1}")</f>
        <v>{"url":"https://us.pandora.net/on/demandware.static/-/Sites-pandora-master-catalog/default/dwbb259ca6/productimages/singlepackshot/788692C01_RGB.png","mode":1}</v>
      </c>
      <c r="D3003" s="5" t="str">
        <f ca="1">IFERROR(ROWSDUMMYFUNCTION(IF(A3003="","",CONCATENATE("https://us.pandora.net/on/demandware.static/-/Sites-pandora-master-catalog/default/dwbb259ca6/productimages/singlepackshot/",LEFT(A3003,FIND("-",A3003&amp;"-")-1),"_RGB.png"))),"https://us.pandora.net/on/demandware.static/-/Sites-pandora-master-catalog/default/dwbb259ca6/productimages/singlepackshot/788692C01_RGB.png")</f>
        <v>https://us.pandora.net/on/demandware.static/-/Sites-pandora-master-catalog/default/dwbb259ca6/productimages/singlepackshot/788692C01_RGB.png</v>
      </c>
    </row>
    <row r="3004" spans="1:4" x14ac:dyDescent="0.25">
      <c r="A3004" s="3" t="s">
        <v>3006</v>
      </c>
      <c r="B3004" s="4">
        <v>69</v>
      </c>
      <c r="C3004" s="3" t="str">
        <f ca="1">IFERROR(ROWSDUMMYFUNCTION(IF(A3004="","",IFERROR(IMAGE(CONCATENATE("https://us.pandora.net/on/demandware.static/-/Sites-pandora-master-catalog/default/dwbb259ca6/productimages/singlepackshot/",LEFT(A3004,FIND("-",A3004&amp;"-")-1),"_RGB.png")),""))),"{""url"":""https://us.pandora.net/on/demandware.static/-/Sites-pandora-master-catalog/default/dwbb259ca6/productimages/singlepackshot/788747C01_RGB.png"",""mode"":1}")</f>
        <v>{"url":"https://us.pandora.net/on/demandware.static/-/Sites-pandora-master-catalog/default/dwbb259ca6/productimages/singlepackshot/788747C01_RGB.png","mode":1}</v>
      </c>
      <c r="D3004" s="5" t="str">
        <f ca="1">IFERROR(ROWSDUMMYFUNCTION(IF(A3004="","",CONCATENATE("https://us.pandora.net/on/demandware.static/-/Sites-pandora-master-catalog/default/dwbb259ca6/productimages/singlepackshot/",LEFT(A3004,FIND("-",A3004&amp;"-")-1),"_RGB.png"))),"https://us.pandora.net/on/demandware.static/-/Sites-pandora-master-catalog/default/dwbb259ca6/productimages/singlepackshot/788747C01_RGB.png")</f>
        <v>https://us.pandora.net/on/demandware.static/-/Sites-pandora-master-catalog/default/dwbb259ca6/productimages/singlepackshot/788747C01_RGB.png</v>
      </c>
    </row>
    <row r="3005" spans="1:4" x14ac:dyDescent="0.25">
      <c r="A3005" s="3" t="s">
        <v>3007</v>
      </c>
      <c r="B3005" s="4">
        <v>59</v>
      </c>
      <c r="C3005" s="3" t="str">
        <f ca="1">IFERROR(ROWSDUMMYFUNCTION(IF(A3005="","",IFERROR(IMAGE(CONCATENATE("https://us.pandora.net/on/demandware.static/-/Sites-pandora-master-catalog/default/dwbb259ca6/productimages/singlepackshot/",LEFT(A3005,FIND("-",A3005&amp;"-")-1),"_RGB.png")),""))),"{""url"":""https://us.pandora.net/on/demandware.static/-/Sites-pandora-master-catalog/default/dwbb259ca6/productimages/singlepackshot/788761C01_RGB.png"",""mode"":1}")</f>
        <v>{"url":"https://us.pandora.net/on/demandware.static/-/Sites-pandora-master-catalog/default/dwbb259ca6/productimages/singlepackshot/788761C01_RGB.png","mode":1}</v>
      </c>
      <c r="D3005" s="5" t="str">
        <f ca="1">IFERROR(ROWSDUMMYFUNCTION(IF(A3005="","",CONCATENATE("https://us.pandora.net/on/demandware.static/-/Sites-pandora-master-catalog/default/dwbb259ca6/productimages/singlepackshot/",LEFT(A3005,FIND("-",A3005&amp;"-")-1),"_RGB.png"))),"https://us.pandora.net/on/demandware.static/-/Sites-pandora-master-catalog/default/dwbb259ca6/productimages/singlepackshot/788761C01_RGB.png")</f>
        <v>https://us.pandora.net/on/demandware.static/-/Sites-pandora-master-catalog/default/dwbb259ca6/productimages/singlepackshot/788761C01_RGB.png</v>
      </c>
    </row>
    <row r="3006" spans="1:4" x14ac:dyDescent="0.25">
      <c r="A3006" s="3" t="s">
        <v>3008</v>
      </c>
      <c r="B3006" s="4">
        <v>69</v>
      </c>
      <c r="C3006" s="3" t="str">
        <f ca="1">IFERROR(ROWSDUMMYFUNCTION(IF(A3006="","",IFERROR(IMAGE(CONCATENATE("https://us.pandora.net/on/demandware.static/-/Sites-pandora-master-catalog/default/dwbb259ca6/productimages/singlepackshot/",LEFT(A3006,FIND("-",A3006&amp;"-")-1),"_RGB.png")),""))),"{""url"":""https://us.pandora.net/on/demandware.static/-/Sites-pandora-master-catalog/default/dwbb259ca6/productimages/singlepackshot/788771C01_RGB.png"",""mode"":1}")</f>
        <v>{"url":"https://us.pandora.net/on/demandware.static/-/Sites-pandora-master-catalog/default/dwbb259ca6/productimages/singlepackshot/788771C01_RGB.png","mode":1}</v>
      </c>
      <c r="D3006" s="5" t="str">
        <f ca="1">IFERROR(ROWSDUMMYFUNCTION(IF(A3006="","",CONCATENATE("https://us.pandora.net/on/demandware.static/-/Sites-pandora-master-catalog/default/dwbb259ca6/productimages/singlepackshot/",LEFT(A3006,FIND("-",A3006&amp;"-")-1),"_RGB.png"))),"https://us.pandora.net/on/demandware.static/-/Sites-pandora-master-catalog/default/dwbb259ca6/productimages/singlepackshot/788771C01_RGB.png")</f>
        <v>https://us.pandora.net/on/demandware.static/-/Sites-pandora-master-catalog/default/dwbb259ca6/productimages/singlepackshot/788771C01_RGB.png</v>
      </c>
    </row>
    <row r="3007" spans="1:4" x14ac:dyDescent="0.25">
      <c r="A3007" s="3" t="s">
        <v>3009</v>
      </c>
      <c r="B3007" s="4">
        <v>55</v>
      </c>
      <c r="C3007" s="3" t="str">
        <f ca="1">IFERROR(ROWSDUMMYFUNCTION(IF(A3007="","",IFERROR(IMAGE(CONCATENATE("https://us.pandora.net/on/demandware.static/-/Sites-pandora-master-catalog/default/dwbb259ca6/productimages/singlepackshot/",LEFT(A3007,FIND("-",A3007&amp;"-")-1),"_RGB.png")),""))),"{""url"":""https://us.pandora.net/on/demandware.static/-/Sites-pandora-master-catalog/default/dwbb259ca6/productimages/singlepackshot/788772C01_RGB.png"",""mode"":1}")</f>
        <v>{"url":"https://us.pandora.net/on/demandware.static/-/Sites-pandora-master-catalog/default/dwbb259ca6/productimages/singlepackshot/788772C01_RGB.png","mode":1}</v>
      </c>
      <c r="D3007" s="5" t="str">
        <f ca="1">IFERROR(ROWSDUMMYFUNCTION(IF(A3007="","",CONCATENATE("https://us.pandora.net/on/demandware.static/-/Sites-pandora-master-catalog/default/dwbb259ca6/productimages/singlepackshot/",LEFT(A3007,FIND("-",A3007&amp;"-")-1),"_RGB.png"))),"https://us.pandora.net/on/demandware.static/-/Sites-pandora-master-catalog/default/dwbb259ca6/productimages/singlepackshot/788772C01_RGB.png")</f>
        <v>https://us.pandora.net/on/demandware.static/-/Sites-pandora-master-catalog/default/dwbb259ca6/productimages/singlepackshot/788772C01_RGB.png</v>
      </c>
    </row>
    <row r="3008" spans="1:4" x14ac:dyDescent="0.25">
      <c r="A3008" s="3" t="s">
        <v>3010</v>
      </c>
      <c r="B3008" s="4">
        <v>65</v>
      </c>
      <c r="C3008" s="3" t="str">
        <f ca="1">IFERROR(ROWSDUMMYFUNCTION(IF(A3008="","",IFERROR(IMAGE(CONCATENATE("https://us.pandora.net/on/demandware.static/-/Sites-pandora-master-catalog/default/dwbb259ca6/productimages/singlepackshot/",LEFT(A3008,FIND("-",A3008&amp;"-")-1),"_RGB.png")),""))),"{""url"":""https://us.pandora.net/on/demandware.static/-/Sites-pandora-master-catalog/default/dwbb259ca6/productimages/singlepackshot/788809C01_RGB.png"",""mode"":1}")</f>
        <v>{"url":"https://us.pandora.net/on/demandware.static/-/Sites-pandora-master-catalog/default/dwbb259ca6/productimages/singlepackshot/788809C01_RGB.png","mode":1}</v>
      </c>
      <c r="D3008" s="5" t="str">
        <f ca="1">IFERROR(ROWSDUMMYFUNCTION(IF(A3008="","",CONCATENATE("https://us.pandora.net/on/demandware.static/-/Sites-pandora-master-catalog/default/dwbb259ca6/productimages/singlepackshot/",LEFT(A3008,FIND("-",A3008&amp;"-")-1),"_RGB.png"))),"https://us.pandora.net/on/demandware.static/-/Sites-pandora-master-catalog/default/dwbb259ca6/productimages/singlepackshot/788809C01_RGB.png")</f>
        <v>https://us.pandora.net/on/demandware.static/-/Sites-pandora-master-catalog/default/dwbb259ca6/productimages/singlepackshot/788809C01_RGB.png</v>
      </c>
    </row>
    <row r="3009" spans="1:4" x14ac:dyDescent="0.25">
      <c r="A3009" s="3" t="s">
        <v>3011</v>
      </c>
      <c r="B3009" s="4">
        <v>55</v>
      </c>
      <c r="C3009" s="3" t="str">
        <f ca="1">IFERROR(ROWSDUMMYFUNCTION(IF(A3009="","",IFERROR(IMAGE(CONCATENATE("https://us.pandora.net/on/demandware.static/-/Sites-pandora-master-catalog/default/dwbb259ca6/productimages/singlepackshot/",LEFT(A3009,FIND("-",A3009&amp;"-")-1),"_RGB.png")),""))),"{""url"":""https://us.pandora.net/on/demandware.static/-/Sites-pandora-master-catalog/default/dwbb259ca6/productimages/singlepackshot/788826C01_RGB.png"",""mode"":1}")</f>
        <v>{"url":"https://us.pandora.net/on/demandware.static/-/Sites-pandora-master-catalog/default/dwbb259ca6/productimages/singlepackshot/788826C01_RGB.png","mode":1}</v>
      </c>
      <c r="D3009" s="5" t="str">
        <f ca="1">IFERROR(ROWSDUMMYFUNCTION(IF(A3009="","",CONCATENATE("https://us.pandora.net/on/demandware.static/-/Sites-pandora-master-catalog/default/dwbb259ca6/productimages/singlepackshot/",LEFT(A3009,FIND("-",A3009&amp;"-")-1),"_RGB.png"))),"https://us.pandora.net/on/demandware.static/-/Sites-pandora-master-catalog/default/dwbb259ca6/productimages/singlepackshot/788826C01_RGB.png")</f>
        <v>https://us.pandora.net/on/demandware.static/-/Sites-pandora-master-catalog/default/dwbb259ca6/productimages/singlepackshot/788826C01_RGB.png</v>
      </c>
    </row>
    <row r="3010" spans="1:4" x14ac:dyDescent="0.25">
      <c r="A3010" s="3" t="s">
        <v>3012</v>
      </c>
      <c r="B3010" s="4">
        <v>49</v>
      </c>
      <c r="C3010" s="3" t="str">
        <f ca="1">IFERROR(ROWSDUMMYFUNCTION(IF(A3010="","",IFERROR(IMAGE(CONCATENATE("https://us.pandora.net/on/demandware.static/-/Sites-pandora-master-catalog/default/dwbb259ca6/productimages/singlepackshot/",LEFT(A3010,FIND("-",A3010&amp;"-")-1),"_RGB.png")),""))),"{""url"":""https://us.pandora.net/on/demandware.static/-/Sites-pandora-master-catalog/default/dwbb259ca6/productimages/singlepackshot/788830C00_RGB.png"",""mode"":1}")</f>
        <v>{"url":"https://us.pandora.net/on/demandware.static/-/Sites-pandora-master-catalog/default/dwbb259ca6/productimages/singlepackshot/788830C00_RGB.png","mode":1}</v>
      </c>
      <c r="D3010" s="5" t="str">
        <f ca="1">IFERROR(ROWSDUMMYFUNCTION(IF(A3010="","",CONCATENATE("https://us.pandora.net/on/demandware.static/-/Sites-pandora-master-catalog/default/dwbb259ca6/productimages/singlepackshot/",LEFT(A3010,FIND("-",A3010&amp;"-")-1),"_RGB.png"))),"https://us.pandora.net/on/demandware.static/-/Sites-pandora-master-catalog/default/dwbb259ca6/productimages/singlepackshot/788830C00_RGB.png")</f>
        <v>https://us.pandora.net/on/demandware.static/-/Sites-pandora-master-catalog/default/dwbb259ca6/productimages/singlepackshot/788830C00_RGB.png</v>
      </c>
    </row>
    <row r="3011" spans="1:4" x14ac:dyDescent="0.25">
      <c r="A3011" s="3" t="s">
        <v>3013</v>
      </c>
      <c r="B3011" s="4">
        <v>65</v>
      </c>
      <c r="C3011" s="3" t="str">
        <f ca="1">IFERROR(ROWSDUMMYFUNCTION(IF(A3011="","",IFERROR(IMAGE(CONCATENATE("https://us.pandora.net/on/demandware.static/-/Sites-pandora-master-catalog/default/dwbb259ca6/productimages/singlepackshot/",LEFT(A3011,FIND("-",A3011&amp;"-")-1),"_RGB.png")),""))),"{""url"":""https://us.pandora.net/on/demandware.static/-/Sites-pandora-master-catalog/default/dwbb259ca6/productimages/singlepackshot/788878C01_RGB.png"",""mode"":1}")</f>
        <v>{"url":"https://us.pandora.net/on/demandware.static/-/Sites-pandora-master-catalog/default/dwbb259ca6/productimages/singlepackshot/788878C01_RGB.png","mode":1}</v>
      </c>
      <c r="D3011" s="5" t="str">
        <f ca="1">IFERROR(ROWSDUMMYFUNCTION(IF(A3011="","",CONCATENATE("https://us.pandora.net/on/demandware.static/-/Sites-pandora-master-catalog/default/dwbb259ca6/productimages/singlepackshot/",LEFT(A3011,FIND("-",A3011&amp;"-")-1),"_RGB.png"))),"https://us.pandora.net/on/demandware.static/-/Sites-pandora-master-catalog/default/dwbb259ca6/productimages/singlepackshot/788878C01_RGB.png")</f>
        <v>https://us.pandora.net/on/demandware.static/-/Sites-pandora-master-catalog/default/dwbb259ca6/productimages/singlepackshot/788878C01_RGB.png</v>
      </c>
    </row>
    <row r="3012" spans="1:4" x14ac:dyDescent="0.25">
      <c r="A3012" s="3" t="s">
        <v>3014</v>
      </c>
      <c r="B3012" s="4">
        <v>69</v>
      </c>
      <c r="C3012" s="3" t="str">
        <f ca="1">IFERROR(ROWSDUMMYFUNCTION(IF(A3012="","",IFERROR(IMAGE(CONCATENATE("https://us.pandora.net/on/demandware.static/-/Sites-pandora-master-catalog/default/dwbb259ca6/productimages/singlepackshot/",LEFT(A3012,FIND("-",A3012&amp;"-")-1),"_RGB.png")),""))),"{""url"":""https://us.pandora.net/on/demandware.static/-/Sites-pandora-master-catalog/default/dwbb259ca6/productimages/singlepackshot/788942C01_RGB.png"",""mode"":1}")</f>
        <v>{"url":"https://us.pandora.net/on/demandware.static/-/Sites-pandora-master-catalog/default/dwbb259ca6/productimages/singlepackshot/788942C01_RGB.png","mode":1}</v>
      </c>
      <c r="D3012" s="5" t="str">
        <f ca="1">IFERROR(ROWSDUMMYFUNCTION(IF(A3012="","",CONCATENATE("https://us.pandora.net/on/demandware.static/-/Sites-pandora-master-catalog/default/dwbb259ca6/productimages/singlepackshot/",LEFT(A3012,FIND("-",A3012&amp;"-")-1),"_RGB.png"))),"https://us.pandora.net/on/demandware.static/-/Sites-pandora-master-catalog/default/dwbb259ca6/productimages/singlepackshot/788942C01_RGB.png")</f>
        <v>https://us.pandora.net/on/demandware.static/-/Sites-pandora-master-catalog/default/dwbb259ca6/productimages/singlepackshot/788942C01_RGB.png</v>
      </c>
    </row>
    <row r="3013" spans="1:4" x14ac:dyDescent="0.25">
      <c r="A3013" s="3" t="s">
        <v>3015</v>
      </c>
      <c r="B3013" s="4">
        <v>55</v>
      </c>
      <c r="C3013" s="3" t="str">
        <f ca="1">IFERROR(ROWSDUMMYFUNCTION(IF(A3013="","",IFERROR(IMAGE(CONCATENATE("https://us.pandora.net/on/demandware.static/-/Sites-pandora-master-catalog/default/dwbb259ca6/productimages/singlepackshot/",LEFT(A3013,FIND("-",A3013&amp;"-")-1),"_RGB.png")),""))),"{""url"":""https://us.pandora.net/on/demandware.static/-/Sites-pandora-master-catalog/default/dwbb259ca6/productimages/singlepackshot/789144C00_RGB.png"",""mode"":1}")</f>
        <v>{"url":"https://us.pandora.net/on/demandware.static/-/Sites-pandora-master-catalog/default/dwbb259ca6/productimages/singlepackshot/789144C00_RGB.png","mode":1}</v>
      </c>
      <c r="D3013" s="5" t="str">
        <f ca="1">IFERROR(ROWSDUMMYFUNCTION(IF(A3013="","",CONCATENATE("https://us.pandora.net/on/demandware.static/-/Sites-pandora-master-catalog/default/dwbb259ca6/productimages/singlepackshot/",LEFT(A3013,FIND("-",A3013&amp;"-")-1),"_RGB.png"))),"https://us.pandora.net/on/demandware.static/-/Sites-pandora-master-catalog/default/dwbb259ca6/productimages/singlepackshot/789144C00_RGB.png")</f>
        <v>https://us.pandora.net/on/demandware.static/-/Sites-pandora-master-catalog/default/dwbb259ca6/productimages/singlepackshot/789144C00_RGB.png</v>
      </c>
    </row>
    <row r="3014" spans="1:4" x14ac:dyDescent="0.25">
      <c r="A3014" s="3" t="s">
        <v>3016</v>
      </c>
      <c r="B3014" s="4">
        <v>79</v>
      </c>
      <c r="C3014" s="3" t="str">
        <f ca="1">IFERROR(ROWSDUMMYFUNCTION(IF(A3014="","",IFERROR(IMAGE(CONCATENATE("https://us.pandora.net/on/demandware.static/-/Sites-pandora-master-catalog/default/dwbb259ca6/productimages/singlepackshot/",LEFT(A3014,FIND("-",A3014&amp;"-")-1),"_RGB.png")),""))),"{""url"":""https://us.pandora.net/on/demandware.static/-/Sites-pandora-master-catalog/default/dwbb259ca6/productimages/singlepackshot/789218C01_RGB.png"",""mode"":1}")</f>
        <v>{"url":"https://us.pandora.net/on/demandware.static/-/Sites-pandora-master-catalog/default/dwbb259ca6/productimages/singlepackshot/789218C01_RGB.png","mode":1}</v>
      </c>
      <c r="D3014" s="5" t="str">
        <f ca="1">IFERROR(ROWSDUMMYFUNCTION(IF(A3014="","",CONCATENATE("https://us.pandora.net/on/demandware.static/-/Sites-pandora-master-catalog/default/dwbb259ca6/productimages/singlepackshot/",LEFT(A3014,FIND("-",A3014&amp;"-")-1),"_RGB.png"))),"https://us.pandora.net/on/demandware.static/-/Sites-pandora-master-catalog/default/dwbb259ca6/productimages/singlepackshot/789218C01_RGB.png")</f>
        <v>https://us.pandora.net/on/demandware.static/-/Sites-pandora-master-catalog/default/dwbb259ca6/productimages/singlepackshot/789218C01_RGB.png</v>
      </c>
    </row>
    <row r="3015" spans="1:4" x14ac:dyDescent="0.25">
      <c r="A3015" s="3" t="s">
        <v>3017</v>
      </c>
      <c r="B3015" s="4">
        <v>69</v>
      </c>
      <c r="C3015" s="3" t="str">
        <f ca="1">IFERROR(ROWSDUMMYFUNCTION(IF(A3015="","",IFERROR(IMAGE(CONCATENATE("https://us.pandora.net/on/demandware.static/-/Sites-pandora-master-catalog/default/dwbb259ca6/productimages/singlepackshot/",LEFT(A3015,FIND("-",A3015&amp;"-")-1),"_RGB.png")),""))),"{""url"":""https://us.pandora.net/on/demandware.static/-/Sites-pandora-master-catalog/default/dwbb259ca6/productimages/singlepackshot/789270C01_RGB.png"",""mode"":1}")</f>
        <v>{"url":"https://us.pandora.net/on/demandware.static/-/Sites-pandora-master-catalog/default/dwbb259ca6/productimages/singlepackshot/789270C01_RGB.png","mode":1}</v>
      </c>
      <c r="D3015" s="5" t="str">
        <f ca="1">IFERROR(ROWSDUMMYFUNCTION(IF(A3015="","",CONCATENATE("https://us.pandora.net/on/demandware.static/-/Sites-pandora-master-catalog/default/dwbb259ca6/productimages/singlepackshot/",LEFT(A3015,FIND("-",A3015&amp;"-")-1),"_RGB.png"))),"https://us.pandora.net/on/demandware.static/-/Sites-pandora-master-catalog/default/dwbb259ca6/productimages/singlepackshot/789270C01_RGB.png")</f>
        <v>https://us.pandora.net/on/demandware.static/-/Sites-pandora-master-catalog/default/dwbb259ca6/productimages/singlepackshot/789270C01_RGB.png</v>
      </c>
    </row>
    <row r="3016" spans="1:4" x14ac:dyDescent="0.25">
      <c r="A3016" s="3" t="s">
        <v>3018</v>
      </c>
      <c r="B3016" s="4">
        <v>49</v>
      </c>
      <c r="C3016" s="3" t="str">
        <f ca="1">IFERROR(ROWSDUMMYFUNCTION(IF(A3016="","",IFERROR(IMAGE(CONCATENATE("https://us.pandora.net/on/demandware.static/-/Sites-pandora-master-catalog/default/dwbb259ca6/productimages/singlepackshot/",LEFT(A3016,FIND("-",A3016&amp;"-")-1),"_RGB.png")),""))),"{""url"":""https://us.pandora.net/on/demandware.static/-/Sites-pandora-master-catalog/default/dwbb259ca6/productimages/singlepackshot/789372C00_RGB.png"",""mode"":1}")</f>
        <v>{"url":"https://us.pandora.net/on/demandware.static/-/Sites-pandora-master-catalog/default/dwbb259ca6/productimages/singlepackshot/789372C00_RGB.png","mode":1}</v>
      </c>
      <c r="D3016" s="5" t="str">
        <f ca="1">IFERROR(ROWSDUMMYFUNCTION(IF(A3016="","",CONCATENATE("https://us.pandora.net/on/demandware.static/-/Sites-pandora-master-catalog/default/dwbb259ca6/productimages/singlepackshot/",LEFT(A3016,FIND("-",A3016&amp;"-")-1),"_RGB.png"))),"https://us.pandora.net/on/demandware.static/-/Sites-pandora-master-catalog/default/dwbb259ca6/productimages/singlepackshot/789372C00_RGB.png")</f>
        <v>https://us.pandora.net/on/demandware.static/-/Sites-pandora-master-catalog/default/dwbb259ca6/productimages/singlepackshot/789372C00_RGB.png</v>
      </c>
    </row>
    <row r="3017" spans="1:4" x14ac:dyDescent="0.25">
      <c r="A3017" s="3" t="s">
        <v>3019</v>
      </c>
      <c r="B3017" s="4">
        <v>29</v>
      </c>
      <c r="C3017" s="3" t="str">
        <f ca="1">IFERROR(ROWSDUMMYFUNCTION(IF(A3017="","",IFERROR(IMAGE(CONCATENATE("https://us.pandora.net/on/demandware.static/-/Sites-pandora-master-catalog/default/dwbb259ca6/productimages/singlepackshot/",LEFT(A3017,FIND("-",A3017&amp;"-")-1),"_RGB.png")),""))),"{""url"":""https://us.pandora.net/on/demandware.static/-/Sites-pandora-master-catalog/default/dwbb259ca6/productimages/singlepackshot/789421C00_RGB.png"",""mode"":1}")</f>
        <v>{"url":"https://us.pandora.net/on/demandware.static/-/Sites-pandora-master-catalog/default/dwbb259ca6/productimages/singlepackshot/789421C00_RGB.png","mode":1}</v>
      </c>
      <c r="D3017" s="5" t="str">
        <f ca="1">IFERROR(ROWSDUMMYFUNCTION(IF(A3017="","",CONCATENATE("https://us.pandora.net/on/demandware.static/-/Sites-pandora-master-catalog/default/dwbb259ca6/productimages/singlepackshot/",LEFT(A3017,FIND("-",A3017&amp;"-")-1),"_RGB.png"))),"https://us.pandora.net/on/demandware.static/-/Sites-pandora-master-catalog/default/dwbb259ca6/productimages/singlepackshot/789421C00_RGB.png")</f>
        <v>https://us.pandora.net/on/demandware.static/-/Sites-pandora-master-catalog/default/dwbb259ca6/productimages/singlepackshot/789421C00_RGB.png</v>
      </c>
    </row>
    <row r="3018" spans="1:4" x14ac:dyDescent="0.25">
      <c r="A3018" s="3" t="s">
        <v>3020</v>
      </c>
      <c r="B3018" s="4">
        <v>79</v>
      </c>
      <c r="C3018" s="3" t="str">
        <f ca="1">IFERROR(ROWSDUMMYFUNCTION(IF(A3018="","",IFERROR(IMAGE(CONCATENATE("https://us.pandora.net/on/demandware.static/-/Sites-pandora-master-catalog/default/dwbb259ca6/productimages/singlepackshot/",LEFT(A3018,FIND("-",A3018&amp;"-")-1),"_RGB.png")),""))),"{""url"":""https://us.pandora.net/on/demandware.static/-/Sites-pandora-master-catalog/default/dwbb259ca6/productimages/singlepackshot/789434C01_RGB.png"",""mode"":1}")</f>
        <v>{"url":"https://us.pandora.net/on/demandware.static/-/Sites-pandora-master-catalog/default/dwbb259ca6/productimages/singlepackshot/789434C01_RGB.png","mode":1}</v>
      </c>
      <c r="D3018" s="5" t="str">
        <f ca="1">IFERROR(ROWSDUMMYFUNCTION(IF(A3018="","",CONCATENATE("https://us.pandora.net/on/demandware.static/-/Sites-pandora-master-catalog/default/dwbb259ca6/productimages/singlepackshot/",LEFT(A3018,FIND("-",A3018&amp;"-")-1),"_RGB.png"))),"https://us.pandora.net/on/demandware.static/-/Sites-pandora-master-catalog/default/dwbb259ca6/productimages/singlepackshot/789434C01_RGB.png")</f>
        <v>https://us.pandora.net/on/demandware.static/-/Sites-pandora-master-catalog/default/dwbb259ca6/productimages/singlepackshot/789434C01_RGB.png</v>
      </c>
    </row>
    <row r="3019" spans="1:4" x14ac:dyDescent="0.25">
      <c r="A3019" s="3" t="s">
        <v>3021</v>
      </c>
      <c r="B3019" s="4">
        <v>69</v>
      </c>
      <c r="C3019" s="3" t="str">
        <f ca="1">IFERROR(ROWSDUMMYFUNCTION(IF(A3019="","",IFERROR(IMAGE(CONCATENATE("https://us.pandora.net/on/demandware.static/-/Sites-pandora-master-catalog/default/dwbb259ca6/productimages/singlepackshot/",LEFT(A3019,FIND("-",A3019&amp;"-")-1),"_RGB.png")),""))),"{""url"":""https://us.pandora.net/on/demandware.static/-/Sites-pandora-master-catalog/default/dwbb259ca6/productimages/singlepackshot/789435C01_RGB.png"",""mode"":1}")</f>
        <v>{"url":"https://us.pandora.net/on/demandware.static/-/Sites-pandora-master-catalog/default/dwbb259ca6/productimages/singlepackshot/789435C01_RGB.png","mode":1}</v>
      </c>
      <c r="D3019" s="5" t="str">
        <f ca="1">IFERROR(ROWSDUMMYFUNCTION(IF(A3019="","",CONCATENATE("https://us.pandora.net/on/demandware.static/-/Sites-pandora-master-catalog/default/dwbb259ca6/productimages/singlepackshot/",LEFT(A3019,FIND("-",A3019&amp;"-")-1),"_RGB.png"))),"https://us.pandora.net/on/demandware.static/-/Sites-pandora-master-catalog/default/dwbb259ca6/productimages/singlepackshot/789435C01_RGB.png")</f>
        <v>https://us.pandora.net/on/demandware.static/-/Sites-pandora-master-catalog/default/dwbb259ca6/productimages/singlepackshot/789435C01_RGB.png</v>
      </c>
    </row>
    <row r="3020" spans="1:4" x14ac:dyDescent="0.25">
      <c r="A3020" s="3" t="s">
        <v>3022</v>
      </c>
      <c r="B3020" s="4">
        <v>85</v>
      </c>
      <c r="C3020" s="3" t="str">
        <f ca="1">IFERROR(ROWSDUMMYFUNCTION(IF(A3020="","",IFERROR(IMAGE(CONCATENATE("https://us.pandora.net/on/demandware.static/-/Sites-pandora-master-catalog/default/dwbb259ca6/productimages/singlepackshot/",LEFT(A3020,FIND("-",A3020&amp;"-")-1),"_RGB.png")),""))),"{""url"":""https://us.pandora.net/on/demandware.static/-/Sites-pandora-master-catalog/default/dwbb259ca6/productimages/singlepackshot/789541C01_RGB.png"",""mode"":1}")</f>
        <v>{"url":"https://us.pandora.net/on/demandware.static/-/Sites-pandora-master-catalog/default/dwbb259ca6/productimages/singlepackshot/789541C01_RGB.png","mode":1}</v>
      </c>
      <c r="D3020" s="5" t="str">
        <f ca="1">IFERROR(ROWSDUMMYFUNCTION(IF(A3020="","",CONCATENATE("https://us.pandora.net/on/demandware.static/-/Sites-pandora-master-catalog/default/dwbb259ca6/productimages/singlepackshot/",LEFT(A3020,FIND("-",A3020&amp;"-")-1),"_RGB.png"))),"https://us.pandora.net/on/demandware.static/-/Sites-pandora-master-catalog/default/dwbb259ca6/productimages/singlepackshot/789541C01_RGB.png")</f>
        <v>https://us.pandora.net/on/demandware.static/-/Sites-pandora-master-catalog/default/dwbb259ca6/productimages/singlepackshot/789541C01_RGB.png</v>
      </c>
    </row>
    <row r="3021" spans="1:4" x14ac:dyDescent="0.25">
      <c r="A3021" s="3" t="s">
        <v>3023</v>
      </c>
      <c r="B3021" s="4">
        <v>79</v>
      </c>
      <c r="C3021" s="3" t="str">
        <f ca="1">IFERROR(ROWSDUMMYFUNCTION(IF(A3021="","",IFERROR(IMAGE(CONCATENATE("https://us.pandora.net/on/demandware.static/-/Sites-pandora-master-catalog/default/dwbb259ca6/productimages/singlepackshot/",LEFT(A3021,FIND("-",A3021&amp;"-")-1),"_RGB.png")),""))),"{""url"":""https://us.pandora.net/on/demandware.static/-/Sites-pandora-master-catalog/default/dwbb259ca6/productimages/singlepackshot/789643C01_RGB.png"",""mode"":1}")</f>
        <v>{"url":"https://us.pandora.net/on/demandware.static/-/Sites-pandora-master-catalog/default/dwbb259ca6/productimages/singlepackshot/789643C01_RGB.png","mode":1}</v>
      </c>
      <c r="D3021" s="5" t="str">
        <f ca="1">IFERROR(ROWSDUMMYFUNCTION(IF(A3021="","",CONCATENATE("https://us.pandora.net/on/demandware.static/-/Sites-pandora-master-catalog/default/dwbb259ca6/productimages/singlepackshot/",LEFT(A3021,FIND("-",A3021&amp;"-")-1),"_RGB.png"))),"https://us.pandora.net/on/demandware.static/-/Sites-pandora-master-catalog/default/dwbb259ca6/productimages/singlepackshot/789643C01_RGB.png")</f>
        <v>https://us.pandora.net/on/demandware.static/-/Sites-pandora-master-catalog/default/dwbb259ca6/productimages/singlepackshot/789643C01_RGB.png</v>
      </c>
    </row>
    <row r="3022" spans="1:4" x14ac:dyDescent="0.25">
      <c r="A3022" s="3" t="s">
        <v>3024</v>
      </c>
      <c r="B3022" s="4">
        <v>59</v>
      </c>
      <c r="C3022" s="3" t="str">
        <f ca="1">IFERROR(ROWSDUMMYFUNCTION(IF(A3022="","",IFERROR(IMAGE(CONCATENATE("https://us.pandora.net/on/demandware.static/-/Sites-pandora-master-catalog/default/dwbb259ca6/productimages/singlepackshot/",LEFT(A3022,FIND("-",A3022&amp;"-")-1),"_RGB.png")),""))),"{""url"":""https://us.pandora.net/on/demandware.static/-/Sites-pandora-master-catalog/default/dwbb259ca6/productimages/singlepackshot/789660C01_RGB.png"",""mode"":1}")</f>
        <v>{"url":"https://us.pandora.net/on/demandware.static/-/Sites-pandora-master-catalog/default/dwbb259ca6/productimages/singlepackshot/789660C01_RGB.png","mode":1}</v>
      </c>
      <c r="D3022" s="5" t="str">
        <f ca="1">IFERROR(ROWSDUMMYFUNCTION(IF(A3022="","",CONCATENATE("https://us.pandora.net/on/demandware.static/-/Sites-pandora-master-catalog/default/dwbb259ca6/productimages/singlepackshot/",LEFT(A3022,FIND("-",A3022&amp;"-")-1),"_RGB.png"))),"https://us.pandora.net/on/demandware.static/-/Sites-pandora-master-catalog/default/dwbb259ca6/productimages/singlepackshot/789660C01_RGB.png")</f>
        <v>https://us.pandora.net/on/demandware.static/-/Sites-pandora-master-catalog/default/dwbb259ca6/productimages/singlepackshot/789660C01_RGB.png</v>
      </c>
    </row>
    <row r="3023" spans="1:4" x14ac:dyDescent="0.25">
      <c r="A3023" s="3" t="s">
        <v>3025</v>
      </c>
      <c r="B3023" s="4">
        <v>39</v>
      </c>
      <c r="C3023" s="3" t="str">
        <f ca="1">IFERROR(ROWSDUMMYFUNCTION(IF(A3023="","",IFERROR(IMAGE(CONCATENATE("https://us.pandora.net/on/demandware.static/-/Sites-pandora-master-catalog/default/dwbb259ca6/productimages/singlepackshot/",LEFT(A3023,FIND("-",A3023&amp;"-")-1),"_RGB.png")),""))),"{""url"":""https://us.pandora.net/on/demandware.static/-/Sites-pandora-master-catalog/default/dwbb259ca6/productimages/singlepackshot/790015C00_RGB.png"",""mode"":1}")</f>
        <v>{"url":"https://us.pandora.net/on/demandware.static/-/Sites-pandora-master-catalog/default/dwbb259ca6/productimages/singlepackshot/790015C00_RGB.png","mode":1}</v>
      </c>
      <c r="D3023" s="5" t="str">
        <f ca="1">IFERROR(ROWSDUMMYFUNCTION(IF(A3023="","",CONCATENATE("https://us.pandora.net/on/demandware.static/-/Sites-pandora-master-catalog/default/dwbb259ca6/productimages/singlepackshot/",LEFT(A3023,FIND("-",A3023&amp;"-")-1),"_RGB.png"))),"https://us.pandora.net/on/demandware.static/-/Sites-pandora-master-catalog/default/dwbb259ca6/productimages/singlepackshot/790015C00_RGB.png")</f>
        <v>https://us.pandora.net/on/demandware.static/-/Sites-pandora-master-catalog/default/dwbb259ca6/productimages/singlepackshot/790015C00_RGB.png</v>
      </c>
    </row>
    <row r="3024" spans="1:4" x14ac:dyDescent="0.25">
      <c r="A3024" s="3" t="s">
        <v>3026</v>
      </c>
      <c r="B3024" s="4">
        <v>79</v>
      </c>
      <c r="C3024" s="3" t="str">
        <f ca="1">IFERROR(ROWSDUMMYFUNCTION(IF(A3024="","",IFERROR(IMAGE(CONCATENATE("https://us.pandora.net/on/demandware.static/-/Sites-pandora-master-catalog/default/dwbb259ca6/productimages/singlepackshot/",LEFT(A3024,FIND("-",A3024&amp;"-")-1),"_RGB.png")),""))),"{""url"":""https://us.pandora.net/on/demandware.static/-/Sites-pandora-master-catalog/default/dwbb259ca6/productimages/singlepackshot/790024C01_RGB.png"",""mode"":1}")</f>
        <v>{"url":"https://us.pandora.net/on/demandware.static/-/Sites-pandora-master-catalog/default/dwbb259ca6/productimages/singlepackshot/790024C01_RGB.png","mode":1}</v>
      </c>
      <c r="D3024" s="5" t="str">
        <f ca="1">IFERROR(ROWSDUMMYFUNCTION(IF(A3024="","",CONCATENATE("https://us.pandora.net/on/demandware.static/-/Sites-pandora-master-catalog/default/dwbb259ca6/productimages/singlepackshot/",LEFT(A3024,FIND("-",A3024&amp;"-")-1),"_RGB.png"))),"https://us.pandora.net/on/demandware.static/-/Sites-pandora-master-catalog/default/dwbb259ca6/productimages/singlepackshot/790024C01_RGB.png")</f>
        <v>https://us.pandora.net/on/demandware.static/-/Sites-pandora-master-catalog/default/dwbb259ca6/productimages/singlepackshot/790024C01_RGB.png</v>
      </c>
    </row>
    <row r="3025" spans="1:4" x14ac:dyDescent="0.25">
      <c r="A3025" s="3" t="s">
        <v>3027</v>
      </c>
      <c r="B3025" s="4">
        <v>39</v>
      </c>
      <c r="C3025" s="3" t="str">
        <f ca="1">IFERROR(ROWSDUMMYFUNCTION(IF(A3025="","",IFERROR(IMAGE(CONCATENATE("https://us.pandora.net/on/demandware.static/-/Sites-pandora-master-catalog/default/dwbb259ca6/productimages/singlepackshot/",LEFT(A3025,FIND("-",A3025&amp;"-")-1),"_RGB.png")),""))),"{""url"":""https://us.pandora.net/on/demandware.static/-/Sites-pandora-master-catalog/default/dwbb259ca6/productimages/singlepackshot/790064C04_RGB.png"",""mode"":1}")</f>
        <v>{"url":"https://us.pandora.net/on/demandware.static/-/Sites-pandora-master-catalog/default/dwbb259ca6/productimages/singlepackshot/790064C04_RGB.png","mode":1}</v>
      </c>
      <c r="D3025" s="5" t="str">
        <f ca="1">IFERROR(ROWSDUMMYFUNCTION(IF(A3025="","",CONCATENATE("https://us.pandora.net/on/demandware.static/-/Sites-pandora-master-catalog/default/dwbb259ca6/productimages/singlepackshot/",LEFT(A3025,FIND("-",A3025&amp;"-")-1),"_RGB.png"))),"https://us.pandora.net/on/demandware.static/-/Sites-pandora-master-catalog/default/dwbb259ca6/productimages/singlepackshot/790064C04_RGB.png")</f>
        <v>https://us.pandora.net/on/demandware.static/-/Sites-pandora-master-catalog/default/dwbb259ca6/productimages/singlepackshot/790064C04_RGB.png</v>
      </c>
    </row>
    <row r="3026" spans="1:4" x14ac:dyDescent="0.25">
      <c r="A3026" s="3" t="s">
        <v>3028</v>
      </c>
      <c r="B3026" s="4">
        <v>39</v>
      </c>
      <c r="C3026" s="3" t="str">
        <f ca="1">IFERROR(ROWSDUMMYFUNCTION(IF(A3026="","",IFERROR(IMAGE(CONCATENATE("https://us.pandora.net/on/demandware.static/-/Sites-pandora-master-catalog/default/dwbb259ca6/productimages/singlepackshot/",LEFT(A3026,FIND("-",A3026&amp;"-")-1),"_RGB.png")),""))),"{""url"":""https://us.pandora.net/on/demandware.static/-/Sites-pandora-master-catalog/default/dwbb259ca6/productimages/singlepackshot/790065C02_RGB.png"",""mode"":1}")</f>
        <v>{"url":"https://us.pandora.net/on/demandware.static/-/Sites-pandora-master-catalog/default/dwbb259ca6/productimages/singlepackshot/790065C02_RGB.png","mode":1}</v>
      </c>
      <c r="D3026" s="5" t="str">
        <f ca="1">IFERROR(ROWSDUMMYFUNCTION(IF(A3026="","",CONCATENATE("https://us.pandora.net/on/demandware.static/-/Sites-pandora-master-catalog/default/dwbb259ca6/productimages/singlepackshot/",LEFT(A3026,FIND("-",A3026&amp;"-")-1),"_RGB.png"))),"https://us.pandora.net/on/demandware.static/-/Sites-pandora-master-catalog/default/dwbb259ca6/productimages/singlepackshot/790065C02_RGB.png")</f>
        <v>https://us.pandora.net/on/demandware.static/-/Sites-pandora-master-catalog/default/dwbb259ca6/productimages/singlepackshot/790065C02_RGB.png</v>
      </c>
    </row>
    <row r="3027" spans="1:4" x14ac:dyDescent="0.25">
      <c r="A3027" s="3" t="s">
        <v>3029</v>
      </c>
      <c r="B3027" s="4">
        <v>39</v>
      </c>
      <c r="C3027" s="3" t="str">
        <f ca="1">IFERROR(ROWSDUMMYFUNCTION(IF(A3027="","",IFERROR(IMAGE(CONCATENATE("https://us.pandora.net/on/demandware.static/-/Sites-pandora-master-catalog/default/dwbb259ca6/productimages/singlepackshot/",LEFT(A3027,FIND("-",A3027&amp;"-")-1),"_RGB.png")),""))),"{""url"":""https://us.pandora.net/on/demandware.static/-/Sites-pandora-master-catalog/default/dwbb259ca6/productimages/singlepackshot/790065C05_RGB.png"",""mode"":1}")</f>
        <v>{"url":"https://us.pandora.net/on/demandware.static/-/Sites-pandora-master-catalog/default/dwbb259ca6/productimages/singlepackshot/790065C05_RGB.png","mode":1}</v>
      </c>
      <c r="D3027" s="5" t="str">
        <f ca="1">IFERROR(ROWSDUMMYFUNCTION(IF(A3027="","",CONCATENATE("https://us.pandora.net/on/demandware.static/-/Sites-pandora-master-catalog/default/dwbb259ca6/productimages/singlepackshot/",LEFT(A3027,FIND("-",A3027&amp;"-")-1),"_RGB.png"))),"https://us.pandora.net/on/demandware.static/-/Sites-pandora-master-catalog/default/dwbb259ca6/productimages/singlepackshot/790065C05_RGB.png")</f>
        <v>https://us.pandora.net/on/demandware.static/-/Sites-pandora-master-catalog/default/dwbb259ca6/productimages/singlepackshot/790065C05_RGB.png</v>
      </c>
    </row>
    <row r="3028" spans="1:4" x14ac:dyDescent="0.25">
      <c r="A3028" s="3" t="s">
        <v>3030</v>
      </c>
      <c r="B3028" s="4">
        <v>39</v>
      </c>
      <c r="C3028" s="3" t="str">
        <f ca="1">IFERROR(ROWSDUMMYFUNCTION(IF(A3028="","",IFERROR(IMAGE(CONCATENATE("https://us.pandora.net/on/demandware.static/-/Sites-pandora-master-catalog/default/dwbb259ca6/productimages/singlepackshot/",LEFT(A3028,FIND("-",A3028&amp;"-")-1),"_RGB.png")),""))),"{""url"":""https://us.pandora.net/on/demandware.static/-/Sites-pandora-master-catalog/default/dwbb259ca6/productimages/singlepackshot/790065C06_RGB.png"",""mode"":1}")</f>
        <v>{"url":"https://us.pandora.net/on/demandware.static/-/Sites-pandora-master-catalog/default/dwbb259ca6/productimages/singlepackshot/790065C06_RGB.png","mode":1}</v>
      </c>
      <c r="D3028" s="5" t="str">
        <f ca="1">IFERROR(ROWSDUMMYFUNCTION(IF(A3028="","",CONCATENATE("https://us.pandora.net/on/demandware.static/-/Sites-pandora-master-catalog/default/dwbb259ca6/productimages/singlepackshot/",LEFT(A3028,FIND("-",A3028&amp;"-")-1),"_RGB.png"))),"https://us.pandora.net/on/demandware.static/-/Sites-pandora-master-catalog/default/dwbb259ca6/productimages/singlepackshot/790065C06_RGB.png")</f>
        <v>https://us.pandora.net/on/demandware.static/-/Sites-pandora-master-catalog/default/dwbb259ca6/productimages/singlepackshot/790065C06_RGB.png</v>
      </c>
    </row>
    <row r="3029" spans="1:4" x14ac:dyDescent="0.25">
      <c r="A3029" s="3" t="s">
        <v>3031</v>
      </c>
      <c r="B3029" s="4">
        <v>39</v>
      </c>
      <c r="C3029" s="3" t="str">
        <f ca="1">IFERROR(ROWSDUMMYFUNCTION(IF(A3029="","",IFERROR(IMAGE(CONCATENATE("https://us.pandora.net/on/demandware.static/-/Sites-pandora-master-catalog/default/dwbb259ca6/productimages/singlepackshot/",LEFT(A3029,FIND("-",A3029&amp;"-")-1),"_RGB.png")),""))),"{""url"":""https://us.pandora.net/on/demandware.static/-/Sites-pandora-master-catalog/default/dwbb259ca6/productimages/singlepackshot/790065C09_RGB.png"",""mode"":1}")</f>
        <v>{"url":"https://us.pandora.net/on/demandware.static/-/Sites-pandora-master-catalog/default/dwbb259ca6/productimages/singlepackshot/790065C09_RGB.png","mode":1}</v>
      </c>
      <c r="D3029" s="5" t="str">
        <f ca="1">IFERROR(ROWSDUMMYFUNCTION(IF(A3029="","",CONCATENATE("https://us.pandora.net/on/demandware.static/-/Sites-pandora-master-catalog/default/dwbb259ca6/productimages/singlepackshot/",LEFT(A3029,FIND("-",A3029&amp;"-")-1),"_RGB.png"))),"https://us.pandora.net/on/demandware.static/-/Sites-pandora-master-catalog/default/dwbb259ca6/productimages/singlepackshot/790065C09_RGB.png")</f>
        <v>https://us.pandora.net/on/demandware.static/-/Sites-pandora-master-catalog/default/dwbb259ca6/productimages/singlepackshot/790065C09_RGB.png</v>
      </c>
    </row>
    <row r="3030" spans="1:4" x14ac:dyDescent="0.25">
      <c r="A3030" s="3" t="s">
        <v>3032</v>
      </c>
      <c r="B3030" s="4">
        <v>19</v>
      </c>
      <c r="C3030" s="3" t="str">
        <f ca="1">IFERROR(ROWSDUMMYFUNCTION(IF(A3030="","",IFERROR(IMAGE(CONCATENATE("https://us.pandora.net/on/demandware.static/-/Sites-pandora-master-catalog/default/dwbb259ca6/productimages/singlepackshot/",LEFT(A3030,FIND("-",A3030&amp;"-")-1),"_RGB.png")),""))),"{""url"":""https://us.pandora.net/on/demandware.static/-/Sites-pandora-master-catalog/default/dwbb259ca6/productimages/singlepackshot/790071C00_RGB.png"",""mode"":1}")</f>
        <v>{"url":"https://us.pandora.net/on/demandware.static/-/Sites-pandora-master-catalog/default/dwbb259ca6/productimages/singlepackshot/790071C00_RGB.png","mode":1}</v>
      </c>
      <c r="D3030" s="5" t="str">
        <f ca="1">IFERROR(ROWSDUMMYFUNCTION(IF(A3030="","",CONCATENATE("https://us.pandora.net/on/demandware.static/-/Sites-pandora-master-catalog/default/dwbb259ca6/productimages/singlepackshot/",LEFT(A3030,FIND("-",A3030&amp;"-")-1),"_RGB.png"))),"https://us.pandora.net/on/demandware.static/-/Sites-pandora-master-catalog/default/dwbb259ca6/productimages/singlepackshot/790071C00_RGB.png")</f>
        <v>https://us.pandora.net/on/demandware.static/-/Sites-pandora-master-catalog/default/dwbb259ca6/productimages/singlepackshot/790071C00_RGB.png</v>
      </c>
    </row>
    <row r="3031" spans="1:4" x14ac:dyDescent="0.25">
      <c r="A3031" s="3" t="s">
        <v>3033</v>
      </c>
      <c r="B3031" s="4">
        <v>69</v>
      </c>
      <c r="C3031" s="3" t="str">
        <f ca="1">IFERROR(ROWSDUMMYFUNCTION(IF(A3031="","",IFERROR(IMAGE(CONCATENATE("https://us.pandora.net/on/demandware.static/-/Sites-pandora-master-catalog/default/dwbb259ca6/productimages/singlepackshot/",LEFT(A3031,FIND("-",A3031&amp;"-")-1),"_RGB.png")),""))),"{""url"":""https://us.pandora.net/on/demandware.static/-/Sites-pandora-master-catalog/default/dwbb259ca6/productimages/singlepackshot/790075C01_RGB.png"",""mode"":1}")</f>
        <v>{"url":"https://us.pandora.net/on/demandware.static/-/Sites-pandora-master-catalog/default/dwbb259ca6/productimages/singlepackshot/790075C01_RGB.png","mode":1}</v>
      </c>
      <c r="D3031" s="5" t="str">
        <f ca="1">IFERROR(ROWSDUMMYFUNCTION(IF(A3031="","",CONCATENATE("https://us.pandora.net/on/demandware.static/-/Sites-pandora-master-catalog/default/dwbb259ca6/productimages/singlepackshot/",LEFT(A3031,FIND("-",A3031&amp;"-")-1),"_RGB.png"))),"https://us.pandora.net/on/demandware.static/-/Sites-pandora-master-catalog/default/dwbb259ca6/productimages/singlepackshot/790075C01_RGB.png")</f>
        <v>https://us.pandora.net/on/demandware.static/-/Sites-pandora-master-catalog/default/dwbb259ca6/productimages/singlepackshot/790075C01_RGB.png</v>
      </c>
    </row>
    <row r="3032" spans="1:4" x14ac:dyDescent="0.25">
      <c r="A3032" s="3" t="s">
        <v>3034</v>
      </c>
      <c r="B3032" s="4">
        <v>55</v>
      </c>
      <c r="C3032" s="3" t="str">
        <f ca="1">IFERROR(ROWSDUMMYFUNCTION(IF(A3032="","",IFERROR(IMAGE(CONCATENATE("https://us.pandora.net/on/demandware.static/-/Sites-pandora-master-catalog/default/dwbb259ca6/productimages/singlepackshot/",LEFT(A3032,FIND("-",A3032&amp;"-")-1),"_RGB.png")),""))),"{""url"":""https://us.pandora.net/on/demandware.static/-/Sites-pandora-master-catalog/default/dwbb259ca6/productimages/singlepackshot/790086C00_RGB.png"",""mode"":1}")</f>
        <v>{"url":"https://us.pandora.net/on/demandware.static/-/Sites-pandora-master-catalog/default/dwbb259ca6/productimages/singlepackshot/790086C00_RGB.png","mode":1}</v>
      </c>
      <c r="D3032" s="5" t="str">
        <f ca="1">IFERROR(ROWSDUMMYFUNCTION(IF(A3032="","",CONCATENATE("https://us.pandora.net/on/demandware.static/-/Sites-pandora-master-catalog/default/dwbb259ca6/productimages/singlepackshot/",LEFT(A3032,FIND("-",A3032&amp;"-")-1),"_RGB.png"))),"https://us.pandora.net/on/demandware.static/-/Sites-pandora-master-catalog/default/dwbb259ca6/productimages/singlepackshot/790086C00_RGB.png")</f>
        <v>https://us.pandora.net/on/demandware.static/-/Sites-pandora-master-catalog/default/dwbb259ca6/productimages/singlepackshot/790086C00_RGB.png</v>
      </c>
    </row>
    <row r="3033" spans="1:4" x14ac:dyDescent="0.25">
      <c r="A3033" s="3" t="s">
        <v>3035</v>
      </c>
      <c r="B3033" s="4">
        <v>59</v>
      </c>
      <c r="C3033" s="3" t="str">
        <f ca="1">IFERROR(ROWSDUMMYFUNCTION(IF(A3033="","",IFERROR(IMAGE(CONCATENATE("https://us.pandora.net/on/demandware.static/-/Sites-pandora-master-catalog/default/dwbb259ca6/productimages/singlepackshot/",LEFT(A3033,FIND("-",A3033&amp;"-")-1),"_RGB.png")),""))),"{""url"":""https://us.pandora.net/on/demandware.static/-/Sites-pandora-master-catalog/default/dwbb259ca6/productimages/singlepackshot/790088C01_RGB.png"",""mode"":1}")</f>
        <v>{"url":"https://us.pandora.net/on/demandware.static/-/Sites-pandora-master-catalog/default/dwbb259ca6/productimages/singlepackshot/790088C01_RGB.png","mode":1}</v>
      </c>
      <c r="D3033" s="5" t="str">
        <f ca="1">IFERROR(ROWSDUMMYFUNCTION(IF(A3033="","",CONCATENATE("https://us.pandora.net/on/demandware.static/-/Sites-pandora-master-catalog/default/dwbb259ca6/productimages/singlepackshot/",LEFT(A3033,FIND("-",A3033&amp;"-")-1),"_RGB.png"))),"https://us.pandora.net/on/demandware.static/-/Sites-pandora-master-catalog/default/dwbb259ca6/productimages/singlepackshot/790088C01_RGB.png")</f>
        <v>https://us.pandora.net/on/demandware.static/-/Sites-pandora-master-catalog/default/dwbb259ca6/productimages/singlepackshot/790088C01_RGB.png</v>
      </c>
    </row>
    <row r="3034" spans="1:4" x14ac:dyDescent="0.25">
      <c r="A3034" s="3" t="s">
        <v>3036</v>
      </c>
      <c r="B3034" s="4">
        <v>59</v>
      </c>
      <c r="C3034" s="3" t="str">
        <f ca="1">IFERROR(ROWSDUMMYFUNCTION(IF(A3034="","",IFERROR(IMAGE(CONCATENATE("https://us.pandora.net/on/demandware.static/-/Sites-pandora-master-catalog/default/dwbb259ca6/productimages/singlepackshot/",LEFT(A3034,FIND("-",A3034&amp;"-")-1),"_RGB.png")),""))),"{""url"":""https://us.pandora.net/on/demandware.static/-/Sites-pandora-master-catalog/default/dwbb259ca6/productimages/singlepackshot/790111C01_RGB.png"",""mode"":1}")</f>
        <v>{"url":"https://us.pandora.net/on/demandware.static/-/Sites-pandora-master-catalog/default/dwbb259ca6/productimages/singlepackshot/790111C01_RGB.png","mode":1}</v>
      </c>
      <c r="D3034" s="5" t="str">
        <f ca="1">IFERROR(ROWSDUMMYFUNCTION(IF(A3034="","",CONCATENATE("https://us.pandora.net/on/demandware.static/-/Sites-pandora-master-catalog/default/dwbb259ca6/productimages/singlepackshot/",LEFT(A3034,FIND("-",A3034&amp;"-")-1),"_RGB.png"))),"https://us.pandora.net/on/demandware.static/-/Sites-pandora-master-catalog/default/dwbb259ca6/productimages/singlepackshot/790111C01_RGB.png")</f>
        <v>https://us.pandora.net/on/demandware.static/-/Sites-pandora-master-catalog/default/dwbb259ca6/productimages/singlepackshot/790111C01_RGB.png</v>
      </c>
    </row>
    <row r="3035" spans="1:4" x14ac:dyDescent="0.25">
      <c r="A3035" s="3" t="s">
        <v>3037</v>
      </c>
      <c r="B3035" s="4">
        <v>49</v>
      </c>
      <c r="C3035" s="3" t="str">
        <f ca="1">IFERROR(ROWSDUMMYFUNCTION(IF(A3035="","",IFERROR(IMAGE(CONCATENATE("https://us.pandora.net/on/demandware.static/-/Sites-pandora-master-catalog/default/dwbb259ca6/productimages/singlepackshot/",LEFT(A3035,FIND("-",A3035&amp;"-")-1),"_RGB.png")),""))),"{""url"":""https://us.pandora.net/on/demandware.static/-/Sites-pandora-master-catalog/default/dwbb259ca6/productimages/singlepackshot/790483C01_RGB.png"",""mode"":1}")</f>
        <v>{"url":"https://us.pandora.net/on/demandware.static/-/Sites-pandora-master-catalog/default/dwbb259ca6/productimages/singlepackshot/790483C01_RGB.png","mode":1}</v>
      </c>
      <c r="D3035" s="5" t="str">
        <f ca="1">IFERROR(ROWSDUMMYFUNCTION(IF(A3035="","",CONCATENATE("https://us.pandora.net/on/demandware.static/-/Sites-pandora-master-catalog/default/dwbb259ca6/productimages/singlepackshot/",LEFT(A3035,FIND("-",A3035&amp;"-")-1),"_RGB.png"))),"https://us.pandora.net/on/demandware.static/-/Sites-pandora-master-catalog/default/dwbb259ca6/productimages/singlepackshot/790483C01_RGB.png")</f>
        <v>https://us.pandora.net/on/demandware.static/-/Sites-pandora-master-catalog/default/dwbb259ca6/productimages/singlepackshot/790483C01_RGB.png</v>
      </c>
    </row>
    <row r="3036" spans="1:4" x14ac:dyDescent="0.25">
      <c r="A3036" s="3" t="s">
        <v>3038</v>
      </c>
      <c r="B3036" s="4">
        <v>69</v>
      </c>
      <c r="C3036" s="3" t="str">
        <f ca="1">IFERROR(ROWSDUMMYFUNCTION(IF(A3036="","",IFERROR(IMAGE(CONCATENATE("https://us.pandora.net/on/demandware.static/-/Sites-pandora-master-catalog/default/dwbb259ca6/productimages/singlepackshot/",LEFT(A3036,FIND("-",A3036&amp;"-")-1),"_RGB.png")),""))),"{""url"":""https://us.pandora.net/on/demandware.static/-/Sites-pandora-master-catalog/default/dwbb259ca6/productimages/singlepackshot/790667C01_RGB.png"",""mode"":1}")</f>
        <v>{"url":"https://us.pandora.net/on/demandware.static/-/Sites-pandora-master-catalog/default/dwbb259ca6/productimages/singlepackshot/790667C01_RGB.png","mode":1}</v>
      </c>
      <c r="D3036" s="5" t="str">
        <f ca="1">IFERROR(ROWSDUMMYFUNCTION(IF(A3036="","",CONCATENATE("https://us.pandora.net/on/demandware.static/-/Sites-pandora-master-catalog/default/dwbb259ca6/productimages/singlepackshot/",LEFT(A3036,FIND("-",A3036&amp;"-")-1),"_RGB.png"))),"https://us.pandora.net/on/demandware.static/-/Sites-pandora-master-catalog/default/dwbb259ca6/productimages/singlepackshot/790667C01_RGB.png")</f>
        <v>https://us.pandora.net/on/demandware.static/-/Sites-pandora-master-catalog/default/dwbb259ca6/productimages/singlepackshot/790667C01_RGB.png</v>
      </c>
    </row>
    <row r="3037" spans="1:4" x14ac:dyDescent="0.25">
      <c r="A3037" s="3" t="s">
        <v>3039</v>
      </c>
      <c r="B3037" s="4">
        <v>69</v>
      </c>
      <c r="C3037" s="3" t="str">
        <f ca="1">IFERROR(ROWSDUMMYFUNCTION(IF(A3037="","",IFERROR(IMAGE(CONCATENATE("https://us.pandora.net/on/demandware.static/-/Sites-pandora-master-catalog/default/dwbb259ca6/productimages/singlepackshot/",LEFT(A3037,FIND("-",A3037&amp;"-")-1),"_RGB.png")),""))),"{""url"":""https://us.pandora.net/on/demandware.static/-/Sites-pandora-master-catalog/default/dwbb259ca6/productimages/singlepackshot/790667C02_RGB.png"",""mode"":1}")</f>
        <v>{"url":"https://us.pandora.net/on/demandware.static/-/Sites-pandora-master-catalog/default/dwbb259ca6/productimages/singlepackshot/790667C02_RGB.png","mode":1}</v>
      </c>
      <c r="D3037" s="5" t="str">
        <f ca="1">IFERROR(ROWSDUMMYFUNCTION(IF(A3037="","",CONCATENATE("https://us.pandora.net/on/demandware.static/-/Sites-pandora-master-catalog/default/dwbb259ca6/productimages/singlepackshot/",LEFT(A3037,FIND("-",A3037&amp;"-")-1),"_RGB.png"))),"https://us.pandora.net/on/demandware.static/-/Sites-pandora-master-catalog/default/dwbb259ca6/productimages/singlepackshot/790667C02_RGB.png")</f>
        <v>https://us.pandora.net/on/demandware.static/-/Sites-pandora-master-catalog/default/dwbb259ca6/productimages/singlepackshot/790667C02_RGB.png</v>
      </c>
    </row>
    <row r="3038" spans="1:4" x14ac:dyDescent="0.25">
      <c r="A3038" s="3" t="s">
        <v>3040</v>
      </c>
      <c r="B3038" s="4">
        <v>65</v>
      </c>
      <c r="C3038" s="3" t="str">
        <f ca="1">IFERROR(ROWSDUMMYFUNCTION(IF(A3038="","",IFERROR(IMAGE(CONCATENATE("https://us.pandora.net/on/demandware.static/-/Sites-pandora-master-catalog/default/dwbb259ca6/productimages/singlepackshot/",LEFT(A3038,FIND("-",A3038&amp;"-")-1),"_RGB.png")),""))),"{""url"":""https://us.pandora.net/on/demandware.static/-/Sites-pandora-master-catalog/default/dwbb259ca6/productimages/singlepackshot/790757C01_RGB.png"",""mode"":1}")</f>
        <v>{"url":"https://us.pandora.net/on/demandware.static/-/Sites-pandora-master-catalog/default/dwbb259ca6/productimages/singlepackshot/790757C01_RGB.png","mode":1}</v>
      </c>
      <c r="D3038" s="5" t="str">
        <f ca="1">IFERROR(ROWSDUMMYFUNCTION(IF(A3038="","",CONCATENATE("https://us.pandora.net/on/demandware.static/-/Sites-pandora-master-catalog/default/dwbb259ca6/productimages/singlepackshot/",LEFT(A3038,FIND("-",A3038&amp;"-")-1),"_RGB.png"))),"https://us.pandora.net/on/demandware.static/-/Sites-pandora-master-catalog/default/dwbb259ca6/productimages/singlepackshot/790757C01_RGB.png")</f>
        <v>https://us.pandora.net/on/demandware.static/-/Sites-pandora-master-catalog/default/dwbb259ca6/productimages/singlepackshot/790757C01_RGB.png</v>
      </c>
    </row>
    <row r="3039" spans="1:4" x14ac:dyDescent="0.25">
      <c r="A3039" s="3" t="s">
        <v>3041</v>
      </c>
      <c r="B3039" s="4">
        <v>65</v>
      </c>
      <c r="C3039" s="3" t="str">
        <f ca="1">IFERROR(ROWSDUMMYFUNCTION(IF(A3039="","",IFERROR(IMAGE(CONCATENATE("https://us.pandora.net/on/demandware.static/-/Sites-pandora-master-catalog/default/dwbb259ca6/productimages/singlepackshot/",LEFT(A3039,FIND("-",A3039&amp;"-")-1),"_RGB.png")),""))),"{""url"":""https://us.pandora.net/on/demandware.static/-/Sites-pandora-master-catalog/default/dwbb259ca6/productimages/singlepackshot/790761C01_RGB.png"",""mode"":1}")</f>
        <v>{"url":"https://us.pandora.net/on/demandware.static/-/Sites-pandora-master-catalog/default/dwbb259ca6/productimages/singlepackshot/790761C01_RGB.png","mode":1}</v>
      </c>
      <c r="D3039" s="5" t="str">
        <f ca="1">IFERROR(ROWSDUMMYFUNCTION(IF(A3039="","",CONCATENATE("https://us.pandora.net/on/demandware.static/-/Sites-pandora-master-catalog/default/dwbb259ca6/productimages/singlepackshot/",LEFT(A3039,FIND("-",A3039&amp;"-")-1),"_RGB.png"))),"https://us.pandora.net/on/demandware.static/-/Sites-pandora-master-catalog/default/dwbb259ca6/productimages/singlepackshot/790761C01_RGB.png")</f>
        <v>https://us.pandora.net/on/demandware.static/-/Sites-pandora-master-catalog/default/dwbb259ca6/productimages/singlepackshot/790761C01_RGB.png</v>
      </c>
    </row>
    <row r="3040" spans="1:4" x14ac:dyDescent="0.25">
      <c r="A3040" s="3" t="s">
        <v>3042</v>
      </c>
      <c r="B3040" s="4">
        <v>29</v>
      </c>
      <c r="C3040" s="3" t="str">
        <f ca="1">IFERROR(ROWSDUMMYFUNCTION(IF(A3040="","",IFERROR(IMAGE(CONCATENATE("https://us.pandora.net/on/demandware.static/-/Sites-pandora-master-catalog/default/dwbb259ca6/productimages/singlepackshot/",LEFT(A3040,FIND("-",A3040&amp;"-")-1),"_RGB.png")),""))),"{""url"":""https://us.pandora.net/on/demandware.static/-/Sites-pandora-master-catalog/default/dwbb259ca6/productimages/singlepackshot/790762C01_RGB.png"",""mode"":1}")</f>
        <v>{"url":"https://us.pandora.net/on/demandware.static/-/Sites-pandora-master-catalog/default/dwbb259ca6/productimages/singlepackshot/790762C01_RGB.png","mode":1}</v>
      </c>
      <c r="D3040" s="5" t="str">
        <f ca="1">IFERROR(ROWSDUMMYFUNCTION(IF(A3040="","",CONCATENATE("https://us.pandora.net/on/demandware.static/-/Sites-pandora-master-catalog/default/dwbb259ca6/productimages/singlepackshot/",LEFT(A3040,FIND("-",A3040&amp;"-")-1),"_RGB.png"))),"https://us.pandora.net/on/demandware.static/-/Sites-pandora-master-catalog/default/dwbb259ca6/productimages/singlepackshot/790762C01_RGB.png")</f>
        <v>https://us.pandora.net/on/demandware.static/-/Sites-pandora-master-catalog/default/dwbb259ca6/productimages/singlepackshot/790762C01_RGB.png</v>
      </c>
    </row>
    <row r="3041" spans="1:4" x14ac:dyDescent="0.25">
      <c r="A3041" s="3" t="s">
        <v>3043</v>
      </c>
      <c r="B3041" s="4">
        <v>75</v>
      </c>
      <c r="C3041" s="3" t="str">
        <f ca="1">IFERROR(ROWSDUMMYFUNCTION(IF(A3041="","",IFERROR(IMAGE(CONCATENATE("https://us.pandora.net/on/demandware.static/-/Sites-pandora-master-catalog/default/dwbb259ca6/productimages/singlepackshot/",LEFT(A3041,FIND("-",A3041&amp;"-")-1),"_RGB.png")),""))),"{""url"":""https://us.pandora.net/on/demandware.static/-/Sites-pandora-master-catalog/default/dwbb259ca6/productimages/singlepackshot/790771C01_RGB.png"",""mode"":1}")</f>
        <v>{"url":"https://us.pandora.net/on/demandware.static/-/Sites-pandora-master-catalog/default/dwbb259ca6/productimages/singlepackshot/790771C01_RGB.png","mode":1}</v>
      </c>
      <c r="D3041" s="5" t="str">
        <f ca="1">IFERROR(ROWSDUMMYFUNCTION(IF(A3041="","",CONCATENATE("https://us.pandora.net/on/demandware.static/-/Sites-pandora-master-catalog/default/dwbb259ca6/productimages/singlepackshot/",LEFT(A3041,FIND("-",A3041&amp;"-")-1),"_RGB.png"))),"https://us.pandora.net/on/demandware.static/-/Sites-pandora-master-catalog/default/dwbb259ca6/productimages/singlepackshot/790771C01_RGB.png")</f>
        <v>https://us.pandora.net/on/demandware.static/-/Sites-pandora-master-catalog/default/dwbb259ca6/productimages/singlepackshot/790771C01_RGB.png</v>
      </c>
    </row>
    <row r="3042" spans="1:4" x14ac:dyDescent="0.25">
      <c r="A3042" s="3" t="s">
        <v>3044</v>
      </c>
      <c r="B3042" s="4">
        <v>55</v>
      </c>
      <c r="C3042" s="3" t="str">
        <f ca="1">IFERROR(ROWSDUMMYFUNCTION(IF(A3042="","",IFERROR(IMAGE(CONCATENATE("https://us.pandora.net/on/demandware.static/-/Sites-pandora-master-catalog/default/dwbb259ca6/productimages/singlepackshot/",LEFT(A3042,FIND("-",A3042&amp;"-")-1),"_RGB.png")),""))),"{""url"":""https://us.pandora.net/on/demandware.static/-/Sites-pandora-master-catalog/default/dwbb259ca6/productimages/singlepackshot/790777C01_RGB.png"",""mode"":1}")</f>
        <v>{"url":"https://us.pandora.net/on/demandware.static/-/Sites-pandora-master-catalog/default/dwbb259ca6/productimages/singlepackshot/790777C01_RGB.png","mode":1}</v>
      </c>
      <c r="D3042" s="5" t="str">
        <f ca="1">IFERROR(ROWSDUMMYFUNCTION(IF(A3042="","",CONCATENATE("https://us.pandora.net/on/demandware.static/-/Sites-pandora-master-catalog/default/dwbb259ca6/productimages/singlepackshot/",LEFT(A3042,FIND("-",A3042&amp;"-")-1),"_RGB.png"))),"https://us.pandora.net/on/demandware.static/-/Sites-pandora-master-catalog/default/dwbb259ca6/productimages/singlepackshot/790777C01_RGB.png")</f>
        <v>https://us.pandora.net/on/demandware.static/-/Sites-pandora-master-catalog/default/dwbb259ca6/productimages/singlepackshot/790777C01_RGB.png</v>
      </c>
    </row>
    <row r="3043" spans="1:4" x14ac:dyDescent="0.25">
      <c r="A3043" s="3" t="s">
        <v>3045</v>
      </c>
      <c r="B3043" s="4">
        <v>55</v>
      </c>
      <c r="C3043" s="3" t="str">
        <f ca="1">IFERROR(ROWSDUMMYFUNCTION(IF(A3043="","",IFERROR(IMAGE(CONCATENATE("https://us.pandora.net/on/demandware.static/-/Sites-pandora-master-catalog/default/dwbb259ca6/productimages/singlepackshot/",LEFT(A3043,FIND("-",A3043&amp;"-")-1),"_RGB.png")),""))),"{""url"":""https://us.pandora.net/on/demandware.static/-/Sites-pandora-master-catalog/default/dwbb259ca6/productimages/singlepackshot/790777C02_RGB.png"",""mode"":1}")</f>
        <v>{"url":"https://us.pandora.net/on/demandware.static/-/Sites-pandora-master-catalog/default/dwbb259ca6/productimages/singlepackshot/790777C02_RGB.png","mode":1}</v>
      </c>
      <c r="D3043" s="5" t="str">
        <f ca="1">IFERROR(ROWSDUMMYFUNCTION(IF(A3043="","",CONCATENATE("https://us.pandora.net/on/demandware.static/-/Sites-pandora-master-catalog/default/dwbb259ca6/productimages/singlepackshot/",LEFT(A3043,FIND("-",A3043&amp;"-")-1),"_RGB.png"))),"https://us.pandora.net/on/demandware.static/-/Sites-pandora-master-catalog/default/dwbb259ca6/productimages/singlepackshot/790777C02_RGB.png")</f>
        <v>https://us.pandora.net/on/demandware.static/-/Sites-pandora-master-catalog/default/dwbb259ca6/productimages/singlepackshot/790777C02_RGB.png</v>
      </c>
    </row>
    <row r="3044" spans="1:4" x14ac:dyDescent="0.25">
      <c r="A3044" s="3" t="s">
        <v>3046</v>
      </c>
      <c r="B3044" s="4">
        <v>59</v>
      </c>
      <c r="C3044" s="3" t="str">
        <f ca="1">IFERROR(ROWSDUMMYFUNCTION(IF(A3044="","",IFERROR(IMAGE(CONCATENATE("https://us.pandora.net/on/demandware.static/-/Sites-pandora-master-catalog/default/dwbb259ca6/productimages/singlepackshot/",LEFT(A3044,FIND("-",A3044&amp;"-")-1),"_RGB.png")),""))),"{""url"":""https://us.pandora.net/on/demandware.static/-/Sites-pandora-master-catalog/default/dwbb259ca6/productimages/singlepackshot/790780C01_RGB.png"",""mode"":1}")</f>
        <v>{"url":"https://us.pandora.net/on/demandware.static/-/Sites-pandora-master-catalog/default/dwbb259ca6/productimages/singlepackshot/790780C01_RGB.png","mode":1}</v>
      </c>
      <c r="D3044" s="5" t="str">
        <f ca="1">IFERROR(ROWSDUMMYFUNCTION(IF(A3044="","",CONCATENATE("https://us.pandora.net/on/demandware.static/-/Sites-pandora-master-catalog/default/dwbb259ca6/productimages/singlepackshot/",LEFT(A3044,FIND("-",A3044&amp;"-")-1),"_RGB.png"))),"https://us.pandora.net/on/demandware.static/-/Sites-pandora-master-catalog/default/dwbb259ca6/productimages/singlepackshot/790780C01_RGB.png")</f>
        <v>https://us.pandora.net/on/demandware.static/-/Sites-pandora-master-catalog/default/dwbb259ca6/productimages/singlepackshot/790780C01_RGB.png</v>
      </c>
    </row>
    <row r="3045" spans="1:4" x14ac:dyDescent="0.25">
      <c r="A3045" s="3" t="s">
        <v>3047</v>
      </c>
      <c r="B3045" s="4">
        <v>49</v>
      </c>
      <c r="C3045" s="3" t="str">
        <f ca="1">IFERROR(ROWSDUMMYFUNCTION(IF(A3045="","",IFERROR(IMAGE(CONCATENATE("https://us.pandora.net/on/demandware.static/-/Sites-pandora-master-catalog/default/dwbb259ca6/productimages/singlepackshot/",LEFT(A3045,FIND("-",A3045&amp;"-")-1),"_RGB.png")),""))),"{""url"":""https://us.pandora.net/on/demandware.static/-/Sites-pandora-master-catalog/default/dwbb259ca6/productimages/singlepackshot/790788C01_RGB.png"",""mode"":1}")</f>
        <v>{"url":"https://us.pandora.net/on/demandware.static/-/Sites-pandora-master-catalog/default/dwbb259ca6/productimages/singlepackshot/790788C01_RGB.png","mode":1}</v>
      </c>
      <c r="D3045" s="5" t="str">
        <f ca="1">IFERROR(ROWSDUMMYFUNCTION(IF(A3045="","",CONCATENATE("https://us.pandora.net/on/demandware.static/-/Sites-pandora-master-catalog/default/dwbb259ca6/productimages/singlepackshot/",LEFT(A3045,FIND("-",A3045&amp;"-")-1),"_RGB.png"))),"https://us.pandora.net/on/demandware.static/-/Sites-pandora-master-catalog/default/dwbb259ca6/productimages/singlepackshot/790788C01_RGB.png")</f>
        <v>https://us.pandora.net/on/demandware.static/-/Sites-pandora-master-catalog/default/dwbb259ca6/productimages/singlepackshot/790788C01_RGB.png</v>
      </c>
    </row>
    <row r="3046" spans="1:4" x14ac:dyDescent="0.25">
      <c r="A3046" s="3" t="s">
        <v>3048</v>
      </c>
      <c r="B3046" s="4">
        <v>19</v>
      </c>
      <c r="C3046" s="3" t="str">
        <f ca="1">IFERROR(ROWSDUMMYFUNCTION(IF(A3046="","",IFERROR(IMAGE(CONCATENATE("https://us.pandora.net/on/demandware.static/-/Sites-pandora-master-catalog/default/dwbb259ca6/productimages/singlepackshot/",LEFT(A3046,FIND("-",A3046&amp;"-")-1),"_RGB.png")),""))),"{""url"":""https://us.pandora.net/on/demandware.static/-/Sites-pandora-master-catalog/default/dwbb259ca6/productimages/singlepackshot/790800C00_RGB.png"",""mode"":1}")</f>
        <v>{"url":"https://us.pandora.net/on/demandware.static/-/Sites-pandora-master-catalog/default/dwbb259ca6/productimages/singlepackshot/790800C00_RGB.png","mode":1}</v>
      </c>
      <c r="D3046" s="5" t="str">
        <f ca="1">IFERROR(ROWSDUMMYFUNCTION(IF(A3046="","",CONCATENATE("https://us.pandora.net/on/demandware.static/-/Sites-pandora-master-catalog/default/dwbb259ca6/productimages/singlepackshot/",LEFT(A3046,FIND("-",A3046&amp;"-")-1),"_RGB.png"))),"https://us.pandora.net/on/demandware.static/-/Sites-pandora-master-catalog/default/dwbb259ca6/productimages/singlepackshot/790800C00_RGB.png")</f>
        <v>https://us.pandora.net/on/demandware.static/-/Sites-pandora-master-catalog/default/dwbb259ca6/productimages/singlepackshot/790800C00_RGB.png</v>
      </c>
    </row>
    <row r="3047" spans="1:4" x14ac:dyDescent="0.25">
      <c r="A3047" s="3" t="s">
        <v>3049</v>
      </c>
      <c r="B3047" s="4">
        <v>35</v>
      </c>
      <c r="C3047" s="3" t="str">
        <f ca="1">IFERROR(ROWSDUMMYFUNCTION(IF(A3047="","",IFERROR(IMAGE(CONCATENATE("https://us.pandora.net/on/demandware.static/-/Sites-pandora-master-catalog/default/dwbb259ca6/productimages/singlepackshot/",LEFT(A3047,FIND("-",A3047&amp;"-")-1),"_RGB.png")),""))),"{""url"":""https://us.pandora.net/on/demandware.static/-/Sites-pandora-master-catalog/default/dwbb259ca6/productimages/singlepackshot/790930_RGB.png"",""mode"":1}")</f>
        <v>{"url":"https://us.pandora.net/on/demandware.static/-/Sites-pandora-master-catalog/default/dwbb259ca6/productimages/singlepackshot/790930_RGB.png","mode":1}</v>
      </c>
      <c r="D3047" s="5" t="str">
        <f ca="1">IFERROR(ROWSDUMMYFUNCTION(IF(A3047="","",CONCATENATE("https://us.pandora.net/on/demandware.static/-/Sites-pandora-master-catalog/default/dwbb259ca6/productimages/singlepackshot/",LEFT(A3047,FIND("-",A3047&amp;"-")-1),"_RGB.png"))),"https://us.pandora.net/on/demandware.static/-/Sites-pandora-master-catalog/default/dwbb259ca6/productimages/singlepackshot/790930_RGB.png")</f>
        <v>https://us.pandora.net/on/demandware.static/-/Sites-pandora-master-catalog/default/dwbb259ca6/productimages/singlepackshot/790930_RGB.png</v>
      </c>
    </row>
    <row r="3048" spans="1:4" x14ac:dyDescent="0.25">
      <c r="A3048" s="3" t="s">
        <v>3050</v>
      </c>
      <c r="B3048" s="4">
        <v>19</v>
      </c>
      <c r="C3048" s="3" t="str">
        <f ca="1">IFERROR(ROWSDUMMYFUNCTION(IF(A3048="","",IFERROR(IMAGE(CONCATENATE("https://us.pandora.net/on/demandware.static/-/Sites-pandora-master-catalog/default/dwbb259ca6/productimages/singlepackshot/",LEFT(A3048,FIND("-",A3048&amp;"-")-1),"_RGB.png")),""))),"{""url"":""https://us.pandora.net/on/demandware.static/-/Sites-pandora-master-catalog/default/dwbb259ca6/productimages/singlepackshot/790964_RGB.png"",""mode"":1}")</f>
        <v>{"url":"https://us.pandora.net/on/demandware.static/-/Sites-pandora-master-catalog/default/dwbb259ca6/productimages/singlepackshot/790964_RGB.png","mode":1}</v>
      </c>
      <c r="D3048" s="5" t="str">
        <f ca="1">IFERROR(ROWSDUMMYFUNCTION(IF(A3048="","",CONCATENATE("https://us.pandora.net/on/demandware.static/-/Sites-pandora-master-catalog/default/dwbb259ca6/productimages/singlepackshot/",LEFT(A3048,FIND("-",A3048&amp;"-")-1),"_RGB.png"))),"https://us.pandora.net/on/demandware.static/-/Sites-pandora-master-catalog/default/dwbb259ca6/productimages/singlepackshot/790964_RGB.png")</f>
        <v>https://us.pandora.net/on/demandware.static/-/Sites-pandora-master-catalog/default/dwbb259ca6/productimages/singlepackshot/790964_RGB.png</v>
      </c>
    </row>
    <row r="3049" spans="1:4" x14ac:dyDescent="0.25">
      <c r="A3049" s="3" t="s">
        <v>3051</v>
      </c>
      <c r="B3049" s="4">
        <v>69</v>
      </c>
      <c r="C3049" s="3" t="str">
        <f ca="1">IFERROR(ROWSDUMMYFUNCTION(IF(A3049="","",IFERROR(IMAGE(CONCATENATE("https://us.pandora.net/on/demandware.static/-/Sites-pandora-master-catalog/default/dwbb259ca6/productimages/singlepackshot/",LEFT(A3049,FIND("-",A3049&amp;"-")-1),"_RGB.png")),""))),"{""url"":""https://us.pandora.net/on/demandware.static/-/Sites-pandora-master-catalog/default/dwbb259ca6/productimages/singlepackshot/791057C01_RGB.png"",""mode"":1}")</f>
        <v>{"url":"https://us.pandora.net/on/demandware.static/-/Sites-pandora-master-catalog/default/dwbb259ca6/productimages/singlepackshot/791057C01_RGB.png","mode":1}</v>
      </c>
      <c r="D3049" s="5" t="str">
        <f ca="1">IFERROR(ROWSDUMMYFUNCTION(IF(A3049="","",CONCATENATE("https://us.pandora.net/on/demandware.static/-/Sites-pandora-master-catalog/default/dwbb259ca6/productimages/singlepackshot/",LEFT(A3049,FIND("-",A3049&amp;"-")-1),"_RGB.png"))),"https://us.pandora.net/on/demandware.static/-/Sites-pandora-master-catalog/default/dwbb259ca6/productimages/singlepackshot/791057C01_RGB.png")</f>
        <v>https://us.pandora.net/on/demandware.static/-/Sites-pandora-master-catalog/default/dwbb259ca6/productimages/singlepackshot/791057C01_RGB.png</v>
      </c>
    </row>
    <row r="3050" spans="1:4" x14ac:dyDescent="0.25">
      <c r="A3050" s="3" t="s">
        <v>3052</v>
      </c>
      <c r="B3050" s="4">
        <v>39</v>
      </c>
      <c r="C3050" s="3" t="str">
        <f ca="1">IFERROR(ROWSDUMMYFUNCTION(IF(A3050="","",IFERROR(IMAGE(CONCATENATE("https://us.pandora.net/on/demandware.static/-/Sites-pandora-master-catalog/default/dwbb259ca6/productimages/singlepackshot/",LEFT(A3050,FIND("-",A3050&amp;"-")-1),"_RGB.png")),""))),"{""url"":""https://us.pandora.net/on/demandware.static/-/Sites-pandora-master-catalog/default/dwbb259ca6/productimages/singlepackshot/791079_RGB.png"",""mode"":1}")</f>
        <v>{"url":"https://us.pandora.net/on/demandware.static/-/Sites-pandora-master-catalog/default/dwbb259ca6/productimages/singlepackshot/791079_RGB.png","mode":1}</v>
      </c>
      <c r="D3050" s="5" t="str">
        <f ca="1">IFERROR(ROWSDUMMYFUNCTION(IF(A3050="","",CONCATENATE("https://us.pandora.net/on/demandware.static/-/Sites-pandora-master-catalog/default/dwbb259ca6/productimages/singlepackshot/",LEFT(A3050,FIND("-",A3050&amp;"-")-1),"_RGB.png"))),"https://us.pandora.net/on/demandware.static/-/Sites-pandora-master-catalog/default/dwbb259ca6/productimages/singlepackshot/791079_RGB.png")</f>
        <v>https://us.pandora.net/on/demandware.static/-/Sites-pandora-master-catalog/default/dwbb259ca6/productimages/singlepackshot/791079_RGB.png</v>
      </c>
    </row>
    <row r="3051" spans="1:4" x14ac:dyDescent="0.25">
      <c r="A3051" s="3" t="s">
        <v>3053</v>
      </c>
      <c r="B3051" s="4">
        <v>45</v>
      </c>
      <c r="C3051" s="3" t="str">
        <f ca="1">IFERROR(ROWSDUMMYFUNCTION(IF(A3051="","",IFERROR(IMAGE(CONCATENATE("https://us.pandora.net/on/demandware.static/-/Sites-pandora-master-catalog/default/dwbb259ca6/productimages/singlepackshot/",LEFT(A3051,FIND("-",A3051&amp;"-")-1),"_RGB.png")),""))),"{""url"":""https://us.pandora.net/on/demandware.static/-/Sites-pandora-master-catalog/default/dwbb259ca6/productimages/singlepackshot/791082_RGB.png"",""mode"":1}")</f>
        <v>{"url":"https://us.pandora.net/on/demandware.static/-/Sites-pandora-master-catalog/default/dwbb259ca6/productimages/singlepackshot/791082_RGB.png","mode":1}</v>
      </c>
      <c r="D3051" s="5" t="str">
        <f ca="1">IFERROR(ROWSDUMMYFUNCTION(IF(A3051="","",CONCATENATE("https://us.pandora.net/on/demandware.static/-/Sites-pandora-master-catalog/default/dwbb259ca6/productimages/singlepackshot/",LEFT(A3051,FIND("-",A3051&amp;"-")-1),"_RGB.png"))),"https://us.pandora.net/on/demandware.static/-/Sites-pandora-master-catalog/default/dwbb259ca6/productimages/singlepackshot/791082_RGB.png")</f>
        <v>https://us.pandora.net/on/demandware.static/-/Sites-pandora-master-catalog/default/dwbb259ca6/productimages/singlepackshot/791082_RGB.png</v>
      </c>
    </row>
    <row r="3052" spans="1:4" x14ac:dyDescent="0.25">
      <c r="A3052" s="3" t="s">
        <v>3054</v>
      </c>
      <c r="B3052" s="4">
        <v>39</v>
      </c>
      <c r="C3052" s="3" t="str">
        <f ca="1">IFERROR(ROWSDUMMYFUNCTION(IF(A3052="","",IFERROR(IMAGE(CONCATENATE("https://us.pandora.net/on/demandware.static/-/Sites-pandora-master-catalog/default/dwbb259ca6/productimages/singlepackshot/",LEFT(A3052,FIND("-",A3052&amp;"-")-1),"_RGB.png")),""))),"{""url"":""https://us.pandora.net/on/demandware.static/-/Sites-pandora-master-catalog/default/dwbb259ca6/productimages/singlepackshot/791088_RGB.png"",""mode"":1}")</f>
        <v>{"url":"https://us.pandora.net/on/demandware.static/-/Sites-pandora-master-catalog/default/dwbb259ca6/productimages/singlepackshot/791088_RGB.png","mode":1}</v>
      </c>
      <c r="D3052" s="5" t="str">
        <f ca="1">IFERROR(ROWSDUMMYFUNCTION(IF(A3052="","",CONCATENATE("https://us.pandora.net/on/demandware.static/-/Sites-pandora-master-catalog/default/dwbb259ca6/productimages/singlepackshot/",LEFT(A3052,FIND("-",A3052&amp;"-")-1),"_RGB.png"))),"https://us.pandora.net/on/demandware.static/-/Sites-pandora-master-catalog/default/dwbb259ca6/productimages/singlepackshot/791088_RGB.png")</f>
        <v>https://us.pandora.net/on/demandware.static/-/Sites-pandora-master-catalog/default/dwbb259ca6/productimages/singlepackshot/791088_RGB.png</v>
      </c>
    </row>
    <row r="3053" spans="1:4" x14ac:dyDescent="0.25">
      <c r="A3053" s="3" t="s">
        <v>3055</v>
      </c>
      <c r="B3053" s="4">
        <v>45</v>
      </c>
      <c r="C3053" s="3" t="str">
        <f ca="1">IFERROR(ROWSDUMMYFUNCTION(IF(A3053="","",IFERROR(IMAGE(CONCATENATE("https://us.pandora.net/on/demandware.static/-/Sites-pandora-master-catalog/default/dwbb259ca6/productimages/singlepackshot/",LEFT(A3053,FIND("-",A3053&amp;"-")-1),"_RGB.png")),""))),"{""url"":""https://us.pandora.net/on/demandware.static/-/Sites-pandora-master-catalog/default/dwbb259ca6/productimages/singlepackshot/791151C01_RGB.png"",""mode"":1}")</f>
        <v>{"url":"https://us.pandora.net/on/demandware.static/-/Sites-pandora-master-catalog/default/dwbb259ca6/productimages/singlepackshot/791151C01_RGB.png","mode":1}</v>
      </c>
      <c r="D3053" s="5" t="str">
        <f ca="1">IFERROR(ROWSDUMMYFUNCTION(IF(A3053="","",CONCATENATE("https://us.pandora.net/on/demandware.static/-/Sites-pandora-master-catalog/default/dwbb259ca6/productimages/singlepackshot/",LEFT(A3053,FIND("-",A3053&amp;"-")-1),"_RGB.png"))),"https://us.pandora.net/on/demandware.static/-/Sites-pandora-master-catalog/default/dwbb259ca6/productimages/singlepackshot/791151C01_RGB.png")</f>
        <v>https://us.pandora.net/on/demandware.static/-/Sites-pandora-master-catalog/default/dwbb259ca6/productimages/singlepackshot/791151C01_RGB.png</v>
      </c>
    </row>
    <row r="3054" spans="1:4" x14ac:dyDescent="0.25">
      <c r="A3054" s="3" t="s">
        <v>3056</v>
      </c>
      <c r="B3054" s="4">
        <v>35</v>
      </c>
      <c r="C3054" s="3" t="str">
        <f ca="1">IFERROR(ROWSDUMMYFUNCTION(IF(A3054="","",IFERROR(IMAGE(CONCATENATE("https://us.pandora.net/on/demandware.static/-/Sites-pandora-master-catalog/default/dwbb259ca6/productimages/singlepackshot/",LEFT(A3054,FIND("-",A3054&amp;"-")-1),"_RGB.png")),""))),"{""url"":""https://us.pandora.net/on/demandware.static/-/Sites-pandora-master-catalog/default/dwbb259ca6/productimages/singlepackshot/791155C01_RGB.png"",""mode"":1}")</f>
        <v>{"url":"https://us.pandora.net/on/demandware.static/-/Sites-pandora-master-catalog/default/dwbb259ca6/productimages/singlepackshot/791155C01_RGB.png","mode":1}</v>
      </c>
      <c r="D3054" s="5" t="str">
        <f ca="1">IFERROR(ROWSDUMMYFUNCTION(IF(A3054="","",CONCATENATE("https://us.pandora.net/on/demandware.static/-/Sites-pandora-master-catalog/default/dwbb259ca6/productimages/singlepackshot/",LEFT(A3054,FIND("-",A3054&amp;"-")-1),"_RGB.png"))),"https://us.pandora.net/on/demandware.static/-/Sites-pandora-master-catalog/default/dwbb259ca6/productimages/singlepackshot/791155C01_RGB.png")</f>
        <v>https://us.pandora.net/on/demandware.static/-/Sites-pandora-master-catalog/default/dwbb259ca6/productimages/singlepackshot/791155C01_RGB.png</v>
      </c>
    </row>
    <row r="3055" spans="1:4" x14ac:dyDescent="0.25">
      <c r="A3055" s="3" t="s">
        <v>3057</v>
      </c>
      <c r="B3055" s="4">
        <v>39</v>
      </c>
      <c r="C3055" s="3" t="str">
        <f ca="1">IFERROR(ROWSDUMMYFUNCTION(IF(A3055="","",IFERROR(IMAGE(CONCATENATE("https://us.pandora.net/on/demandware.static/-/Sites-pandora-master-catalog/default/dwbb259ca6/productimages/singlepackshot/",LEFT(A3055,FIND("-",A3055&amp;"-")-1),"_RGB.png")),""))),"{""url"":""https://us.pandora.net/on/demandware.static/-/Sites-pandora-master-catalog/default/dwbb259ca6/productimages/singlepackshot/791242CZ_RGB.png"",""mode"":1}")</f>
        <v>{"url":"https://us.pandora.net/on/demandware.static/-/Sites-pandora-master-catalog/default/dwbb259ca6/productimages/singlepackshot/791242CZ_RGB.png","mode":1}</v>
      </c>
      <c r="D3055" s="5" t="str">
        <f ca="1">IFERROR(ROWSDUMMYFUNCTION(IF(A3055="","",CONCATENATE("https://us.pandora.net/on/demandware.static/-/Sites-pandora-master-catalog/default/dwbb259ca6/productimages/singlepackshot/",LEFT(A3055,FIND("-",A3055&amp;"-")-1),"_RGB.png"))),"https://us.pandora.net/on/demandware.static/-/Sites-pandora-master-catalog/default/dwbb259ca6/productimages/singlepackshot/791242CZ_RGB.png")</f>
        <v>https://us.pandora.net/on/demandware.static/-/Sites-pandora-master-catalog/default/dwbb259ca6/productimages/singlepackshot/791242CZ_RGB.png</v>
      </c>
    </row>
    <row r="3056" spans="1:4" x14ac:dyDescent="0.25">
      <c r="A3056" s="3" t="s">
        <v>3058</v>
      </c>
      <c r="B3056" s="4">
        <v>19</v>
      </c>
      <c r="C3056" s="3" t="str">
        <f ca="1">IFERROR(ROWSDUMMYFUNCTION(IF(A3056="","",IFERROR(IMAGE(CONCATENATE("https://us.pandora.net/on/demandware.static/-/Sites-pandora-master-catalog/default/dwbb259ca6/productimages/singlepackshot/",LEFT(A3056,FIND("-",A3056&amp;"-")-1),"_RGB.png")),""))),"{""url"":""https://us.pandora.net/on/demandware.static/-/Sites-pandora-master-catalog/default/dwbb259ca6/productimages/singlepackshot/791282_RGB.png"",""mode"":1}")</f>
        <v>{"url":"https://us.pandora.net/on/demandware.static/-/Sites-pandora-master-catalog/default/dwbb259ca6/productimages/singlepackshot/791282_RGB.png","mode":1}</v>
      </c>
      <c r="D3056" s="5" t="str">
        <f ca="1">IFERROR(ROWSDUMMYFUNCTION(IF(A3056="","",CONCATENATE("https://us.pandora.net/on/demandware.static/-/Sites-pandora-master-catalog/default/dwbb259ca6/productimages/singlepackshot/",LEFT(A3056,FIND("-",A3056&amp;"-")-1),"_RGB.png"))),"https://us.pandora.net/on/demandware.static/-/Sites-pandora-master-catalog/default/dwbb259ca6/productimages/singlepackshot/791282_RGB.png")</f>
        <v>https://us.pandora.net/on/demandware.static/-/Sites-pandora-master-catalog/default/dwbb259ca6/productimages/singlepackshot/791282_RGB.png</v>
      </c>
    </row>
    <row r="3057" spans="1:4" x14ac:dyDescent="0.25">
      <c r="A3057" s="3" t="s">
        <v>3059</v>
      </c>
      <c r="B3057" s="4">
        <v>49</v>
      </c>
      <c r="C3057" s="3" t="str">
        <f ca="1">IFERROR(ROWSDUMMYFUNCTION(IF(A3057="","",IFERROR(IMAGE(CONCATENATE("https://us.pandora.net/on/demandware.static/-/Sites-pandora-master-catalog/default/dwbb259ca6/productimages/singlepackshot/",LEFT(A3057,FIND("-",A3057&amp;"-")-1),"_RGB.png")),""))),"{""url"":""https://us.pandora.net/on/demandware.static/-/Sites-pandora-master-catalog/default/dwbb259ca6/productimages/singlepackshot/791288CZ_RGB.png"",""mode"":1}")</f>
        <v>{"url":"https://us.pandora.net/on/demandware.static/-/Sites-pandora-master-catalog/default/dwbb259ca6/productimages/singlepackshot/791288CZ_RGB.png","mode":1}</v>
      </c>
      <c r="D3057" s="5" t="str">
        <f ca="1">IFERROR(ROWSDUMMYFUNCTION(IF(A3057="","",CONCATENATE("https://us.pandora.net/on/demandware.static/-/Sites-pandora-master-catalog/default/dwbb259ca6/productimages/singlepackshot/",LEFT(A3057,FIND("-",A3057&amp;"-")-1),"_RGB.png"))),"https://us.pandora.net/on/demandware.static/-/Sites-pandora-master-catalog/default/dwbb259ca6/productimages/singlepackshot/791288CZ_RGB.png")</f>
        <v>https://us.pandora.net/on/demandware.static/-/Sites-pandora-master-catalog/default/dwbb259ca6/productimages/singlepackshot/791288CZ_RGB.png</v>
      </c>
    </row>
    <row r="3058" spans="1:4" x14ac:dyDescent="0.25">
      <c r="A3058" s="3" t="s">
        <v>3060</v>
      </c>
      <c r="B3058" s="4">
        <v>35</v>
      </c>
      <c r="C3058" s="3" t="str">
        <f ca="1">IFERROR(ROWSDUMMYFUNCTION(IF(A3058="","",IFERROR(IMAGE(CONCATENATE("https://us.pandora.net/on/demandware.static/-/Sites-pandora-master-catalog/default/dwbb259ca6/productimages/singlepackshot/",LEFT(A3058,FIND("-",A3058&amp;"-")-1),"_RGB.png")),""))),"{""url"":""https://us.pandora.net/on/demandware.static/-/Sites-pandora-master-catalog/default/dwbb259ca6/productimages/singlepackshot/791359CZ_RGB.png"",""mode"":1}")</f>
        <v>{"url":"https://us.pandora.net/on/demandware.static/-/Sites-pandora-master-catalog/default/dwbb259ca6/productimages/singlepackshot/791359CZ_RGB.png","mode":1}</v>
      </c>
      <c r="D3058" s="5" t="str">
        <f ca="1">IFERROR(ROWSDUMMYFUNCTION(IF(A3058="","",CONCATENATE("https://us.pandora.net/on/demandware.static/-/Sites-pandora-master-catalog/default/dwbb259ca6/productimages/singlepackshot/",LEFT(A3058,FIND("-",A3058&amp;"-")-1),"_RGB.png"))),"https://us.pandora.net/on/demandware.static/-/Sites-pandora-master-catalog/default/dwbb259ca6/productimages/singlepackshot/791359CZ_RGB.png")</f>
        <v>https://us.pandora.net/on/demandware.static/-/Sites-pandora-master-catalog/default/dwbb259ca6/productimages/singlepackshot/791359CZ_RGB.png</v>
      </c>
    </row>
    <row r="3059" spans="1:4" x14ac:dyDescent="0.25">
      <c r="A3059" s="3" t="s">
        <v>3061</v>
      </c>
      <c r="B3059" s="4">
        <v>35</v>
      </c>
      <c r="C3059" s="3" t="str">
        <f ca="1">IFERROR(ROWSDUMMYFUNCTION(IF(A3059="","",IFERROR(IMAGE(CONCATENATE("https://us.pandora.net/on/demandware.static/-/Sites-pandora-master-catalog/default/dwbb259ca6/productimages/singlepackshot/",LEFT(A3059,FIND("-",A3059&amp;"-")-1),"_RGB.png")),""))),"{""url"":""https://us.pandora.net/on/demandware.static/-/Sites-pandora-master-catalog/default/dwbb259ca6/productimages/singlepackshot/791361EN09_RGB.png"",""mode"":1}")</f>
        <v>{"url":"https://us.pandora.net/on/demandware.static/-/Sites-pandora-master-catalog/default/dwbb259ca6/productimages/singlepackshot/791361EN09_RGB.png","mode":1}</v>
      </c>
      <c r="D3059" s="5" t="str">
        <f ca="1">IFERROR(ROWSDUMMYFUNCTION(IF(A3059="","",CONCATENATE("https://us.pandora.net/on/demandware.static/-/Sites-pandora-master-catalog/default/dwbb259ca6/productimages/singlepackshot/",LEFT(A3059,FIND("-",A3059&amp;"-")-1),"_RGB.png"))),"https://us.pandora.net/on/demandware.static/-/Sites-pandora-master-catalog/default/dwbb259ca6/productimages/singlepackshot/791361EN09_RGB.png")</f>
        <v>https://us.pandora.net/on/demandware.static/-/Sites-pandora-master-catalog/default/dwbb259ca6/productimages/singlepackshot/791361EN09_RGB.png</v>
      </c>
    </row>
    <row r="3060" spans="1:4" x14ac:dyDescent="0.25">
      <c r="A3060" s="3" t="s">
        <v>3062</v>
      </c>
      <c r="B3060" s="4">
        <v>29</v>
      </c>
      <c r="C3060" s="3" t="str">
        <f ca="1">IFERROR(ROWSDUMMYFUNCTION(IF(A3060="","",IFERROR(IMAGE(CONCATENATE("https://us.pandora.net/on/demandware.static/-/Sites-pandora-master-catalog/default/dwbb259ca6/productimages/singlepackshot/",LEFT(A3060,FIND("-",A3060&amp;"-")-1),"_RGB.png")),""))),"{""url"":""https://us.pandora.net/on/demandware.static/-/Sites-pandora-master-catalog/default/dwbb259ca6/productimages/singlepackshot/791495EN12_RGB.png"",""mode"":1}")</f>
        <v>{"url":"https://us.pandora.net/on/demandware.static/-/Sites-pandora-master-catalog/default/dwbb259ca6/productimages/singlepackshot/791495EN12_RGB.png","mode":1}</v>
      </c>
      <c r="D3060" s="5" t="str">
        <f ca="1">IFERROR(ROWSDUMMYFUNCTION(IF(A3060="","",CONCATENATE("https://us.pandora.net/on/demandware.static/-/Sites-pandora-master-catalog/default/dwbb259ca6/productimages/singlepackshot/",LEFT(A3060,FIND("-",A3060&amp;"-")-1),"_RGB.png"))),"https://us.pandora.net/on/demandware.static/-/Sites-pandora-master-catalog/default/dwbb259ca6/productimages/singlepackshot/791495EN12_RGB.png")</f>
        <v>https://us.pandora.net/on/demandware.static/-/Sites-pandora-master-catalog/default/dwbb259ca6/productimages/singlepackshot/791495EN12_RGB.png</v>
      </c>
    </row>
    <row r="3061" spans="1:4" x14ac:dyDescent="0.25">
      <c r="A3061" s="3" t="s">
        <v>3063</v>
      </c>
      <c r="B3061" s="4">
        <v>65</v>
      </c>
      <c r="C3061" s="3" t="str">
        <f ca="1">IFERROR(ROWSDUMMYFUNCTION(IF(A3061="","",IFERROR(IMAGE(CONCATENATE("https://us.pandora.net/on/demandware.static/-/Sites-pandora-master-catalog/default/dwbb259ca6/productimages/singlepackshot/",LEFT(A3061,FIND("-",A3061&amp;"-")-1),"_RGB.png")),""))),"{""url"":""https://us.pandora.net/on/demandware.static/-/Sites-pandora-master-catalog/default/dwbb259ca6/productimages/singlepackshot/791501C01_RGB.png"",""mode"":1}")</f>
        <v>{"url":"https://us.pandora.net/on/demandware.static/-/Sites-pandora-master-catalog/default/dwbb259ca6/productimages/singlepackshot/791501C01_RGB.png","mode":1}</v>
      </c>
      <c r="D3061" s="5" t="str">
        <f ca="1">IFERROR(ROWSDUMMYFUNCTION(IF(A3061="","",CONCATENATE("https://us.pandora.net/on/demandware.static/-/Sites-pandora-master-catalog/default/dwbb259ca6/productimages/singlepackshot/",LEFT(A3061,FIND("-",A3061&amp;"-")-1),"_RGB.png"))),"https://us.pandora.net/on/demandware.static/-/Sites-pandora-master-catalog/default/dwbb259ca6/productimages/singlepackshot/791501C01_RGB.png")</f>
        <v>https://us.pandora.net/on/demandware.static/-/Sites-pandora-master-catalog/default/dwbb259ca6/productimages/singlepackshot/791501C01_RGB.png</v>
      </c>
    </row>
    <row r="3062" spans="1:4" x14ac:dyDescent="0.25">
      <c r="A3062" s="3" t="s">
        <v>3064</v>
      </c>
      <c r="B3062" s="4">
        <v>29</v>
      </c>
      <c r="C3062" s="3" t="str">
        <f ca="1">IFERROR(ROWSDUMMYFUNCTION(IF(A3062="","",IFERROR(IMAGE(CONCATENATE("https://us.pandora.net/on/demandware.static/-/Sites-pandora-master-catalog/default/dwbb259ca6/productimages/singlepackshot/",LEFT(A3062,FIND("-",A3062&amp;"-")-1),"_RGB.png")),""))),"{""url"":""https://us.pandora.net/on/demandware.static/-/Sites-pandora-master-catalog/default/dwbb259ca6/productimages/singlepackshot/791507C00_RGB.png"",""mode"":1}")</f>
        <v>{"url":"https://us.pandora.net/on/demandware.static/-/Sites-pandora-master-catalog/default/dwbb259ca6/productimages/singlepackshot/791507C00_RGB.png","mode":1}</v>
      </c>
      <c r="D3062" s="5" t="str">
        <f ca="1">IFERROR(ROWSDUMMYFUNCTION(IF(A3062="","",CONCATENATE("https://us.pandora.net/on/demandware.static/-/Sites-pandora-master-catalog/default/dwbb259ca6/productimages/singlepackshot/",LEFT(A3062,FIND("-",A3062&amp;"-")-1),"_RGB.png"))),"https://us.pandora.net/on/demandware.static/-/Sites-pandora-master-catalog/default/dwbb259ca6/productimages/singlepackshot/791507C00_RGB.png")</f>
        <v>https://us.pandora.net/on/demandware.static/-/Sites-pandora-master-catalog/default/dwbb259ca6/productimages/singlepackshot/791507C00_RGB.png</v>
      </c>
    </row>
    <row r="3063" spans="1:4" x14ac:dyDescent="0.25">
      <c r="A3063" s="3" t="s">
        <v>3065</v>
      </c>
      <c r="B3063" s="4">
        <v>59</v>
      </c>
      <c r="C3063" s="3" t="str">
        <f ca="1">IFERROR(ROWSDUMMYFUNCTION(IF(A3063="","",IFERROR(IMAGE(CONCATENATE("https://us.pandora.net/on/demandware.static/-/Sites-pandora-master-catalog/default/dwbb259ca6/productimages/singlepackshot/",LEFT(A3063,FIND("-",A3063&amp;"-")-1),"_RGB.png")),""))),"{""url"":""https://us.pandora.net/on/demandware.static/-/Sites-pandora-master-catalog/default/dwbb259ca6/productimages/singlepackshot/791535CZ_RGB.png"",""mode"":1}")</f>
        <v>{"url":"https://us.pandora.net/on/demandware.static/-/Sites-pandora-master-catalog/default/dwbb259ca6/productimages/singlepackshot/791535CZ_RGB.png","mode":1}</v>
      </c>
      <c r="D3063" s="5" t="str">
        <f ca="1">IFERROR(ROWSDUMMYFUNCTION(IF(A3063="","",CONCATENATE("https://us.pandora.net/on/demandware.static/-/Sites-pandora-master-catalog/default/dwbb259ca6/productimages/singlepackshot/",LEFT(A3063,FIND("-",A3063&amp;"-")-1),"_RGB.png"))),"https://us.pandora.net/on/demandware.static/-/Sites-pandora-master-catalog/default/dwbb259ca6/productimages/singlepackshot/791535CZ_RGB.png")</f>
        <v>https://us.pandora.net/on/demandware.static/-/Sites-pandora-master-catalog/default/dwbb259ca6/productimages/singlepackshot/791535CZ_RGB.png</v>
      </c>
    </row>
    <row r="3064" spans="1:4" x14ac:dyDescent="0.25">
      <c r="A3064" s="3" t="s">
        <v>3066</v>
      </c>
      <c r="B3064" s="4">
        <v>55</v>
      </c>
      <c r="C3064" s="3" t="str">
        <f ca="1">IFERROR(ROWSDUMMYFUNCTION(IF(A3064="","",IFERROR(IMAGE(CONCATENATE("https://us.pandora.net/on/demandware.static/-/Sites-pandora-master-catalog/default/dwbb259ca6/productimages/singlepackshot/",LEFT(A3064,FIND("-",A3064&amp;"-")-1),"_RGB.png")),""))),"{""url"":""https://us.pandora.net/on/demandware.static/-/Sites-pandora-master-catalog/default/dwbb259ca6/productimages/singlepackshot/791583C01_RGB.png"",""mode"":1}")</f>
        <v>{"url":"https://us.pandora.net/on/demandware.static/-/Sites-pandora-master-catalog/default/dwbb259ca6/productimages/singlepackshot/791583C01_RGB.png","mode":1}</v>
      </c>
      <c r="D3064" s="5" t="str">
        <f ca="1">IFERROR(ROWSDUMMYFUNCTION(IF(A3064="","",CONCATENATE("https://us.pandora.net/on/demandware.static/-/Sites-pandora-master-catalog/default/dwbb259ca6/productimages/singlepackshot/",LEFT(A3064,FIND("-",A3064&amp;"-")-1),"_RGB.png"))),"https://us.pandora.net/on/demandware.static/-/Sites-pandora-master-catalog/default/dwbb259ca6/productimages/singlepackshot/791583C01_RGB.png")</f>
        <v>https://us.pandora.net/on/demandware.static/-/Sites-pandora-master-catalog/default/dwbb259ca6/productimages/singlepackshot/791583C01_RGB.png</v>
      </c>
    </row>
    <row r="3065" spans="1:4" x14ac:dyDescent="0.25">
      <c r="A3065" s="3" t="s">
        <v>3067</v>
      </c>
      <c r="B3065" s="4">
        <v>65</v>
      </c>
      <c r="C3065" s="3" t="str">
        <f ca="1">IFERROR(ROWSDUMMYFUNCTION(IF(A3065="","",IFERROR(IMAGE(CONCATENATE("https://us.pandora.net/on/demandware.static/-/Sites-pandora-master-catalog/default/dwbb259ca6/productimages/singlepackshot/",LEFT(A3065,FIND("-",A3065&amp;"-")-1),"_RGB.png")),""))),"{""url"":""https://us.pandora.net/on/demandware.static/-/Sites-pandora-master-catalog/default/dwbb259ca6/productimages/singlepackshot/791676C01_RGB.png"",""mode"":1}")</f>
        <v>{"url":"https://us.pandora.net/on/demandware.static/-/Sites-pandora-master-catalog/default/dwbb259ca6/productimages/singlepackshot/791676C01_RGB.png","mode":1}</v>
      </c>
      <c r="D3065" s="5" t="str">
        <f ca="1">IFERROR(ROWSDUMMYFUNCTION(IF(A3065="","",CONCATENATE("https://us.pandora.net/on/demandware.static/-/Sites-pandora-master-catalog/default/dwbb259ca6/productimages/singlepackshot/",LEFT(A3065,FIND("-",A3065&amp;"-")-1),"_RGB.png"))),"https://us.pandora.net/on/demandware.static/-/Sites-pandora-master-catalog/default/dwbb259ca6/productimages/singlepackshot/791676C01_RGB.png")</f>
        <v>https://us.pandora.net/on/demandware.static/-/Sites-pandora-master-catalog/default/dwbb259ca6/productimages/singlepackshot/791676C01_RGB.png</v>
      </c>
    </row>
    <row r="3066" spans="1:4" x14ac:dyDescent="0.25">
      <c r="A3066" s="3" t="s">
        <v>3068</v>
      </c>
      <c r="B3066" s="4">
        <v>45</v>
      </c>
      <c r="C3066" s="3" t="str">
        <f ca="1">IFERROR(ROWSDUMMYFUNCTION(IF(A3066="","",IFERROR(IMAGE(CONCATENATE("https://us.pandora.net/on/demandware.static/-/Sites-pandora-master-catalog/default/dwbb259ca6/productimages/singlepackshot/",LEFT(A3066,FIND("-",A3066&amp;"-")-1),"_RGB.png")),""))),"{""url"":""https://us.pandora.net/on/demandware.static/-/Sites-pandora-master-catalog/default/dwbb259ca6/productimages/singlepackshot/791678C01_RGB.png"",""mode"":1}")</f>
        <v>{"url":"https://us.pandora.net/on/demandware.static/-/Sites-pandora-master-catalog/default/dwbb259ca6/productimages/singlepackshot/791678C01_RGB.png","mode":1}</v>
      </c>
      <c r="D3066" s="5" t="str">
        <f ca="1">IFERROR(ROWSDUMMYFUNCTION(IF(A3066="","",CONCATENATE("https://us.pandora.net/on/demandware.static/-/Sites-pandora-master-catalog/default/dwbb259ca6/productimages/singlepackshot/",LEFT(A3066,FIND("-",A3066&amp;"-")-1),"_RGB.png"))),"https://us.pandora.net/on/demandware.static/-/Sites-pandora-master-catalog/default/dwbb259ca6/productimages/singlepackshot/791678C01_RGB.png")</f>
        <v>https://us.pandora.net/on/demandware.static/-/Sites-pandora-master-catalog/default/dwbb259ca6/productimages/singlepackshot/791678C01_RGB.png</v>
      </c>
    </row>
    <row r="3067" spans="1:4" x14ac:dyDescent="0.25">
      <c r="A3067" s="3" t="s">
        <v>3069</v>
      </c>
      <c r="B3067" s="4">
        <v>55</v>
      </c>
      <c r="C3067" s="3" t="str">
        <f ca="1">IFERROR(ROWSDUMMYFUNCTION(IF(A3067="","",IFERROR(IMAGE(CONCATENATE("https://us.pandora.net/on/demandware.static/-/Sites-pandora-master-catalog/default/dwbb259ca6/productimages/singlepackshot/",LEFT(A3067,FIND("-",A3067&amp;"-")-1),"_RGB.png")),""))),"{""url"":""https://us.pandora.net/on/demandware.static/-/Sites-pandora-master-catalog/default/dwbb259ca6/productimages/singlepackshot/791681C01_RGB.png"",""mode"":1}")</f>
        <v>{"url":"https://us.pandora.net/on/demandware.static/-/Sites-pandora-master-catalog/default/dwbb259ca6/productimages/singlepackshot/791681C01_RGB.png","mode":1}</v>
      </c>
      <c r="D3067" s="5" t="str">
        <f ca="1">IFERROR(ROWSDUMMYFUNCTION(IF(A3067="","",CONCATENATE("https://us.pandora.net/on/demandware.static/-/Sites-pandora-master-catalog/default/dwbb259ca6/productimages/singlepackshot/",LEFT(A3067,FIND("-",A3067&amp;"-")-1),"_RGB.png"))),"https://us.pandora.net/on/demandware.static/-/Sites-pandora-master-catalog/default/dwbb259ca6/productimages/singlepackshot/791681C01_RGB.png")</f>
        <v>https://us.pandora.net/on/demandware.static/-/Sites-pandora-master-catalog/default/dwbb259ca6/productimages/singlepackshot/791681C01_RGB.png</v>
      </c>
    </row>
    <row r="3068" spans="1:4" x14ac:dyDescent="0.25">
      <c r="A3068" s="3" t="s">
        <v>3070</v>
      </c>
      <c r="B3068" s="4">
        <v>45</v>
      </c>
      <c r="C3068" s="3" t="str">
        <f ca="1">IFERROR(ROWSDUMMYFUNCTION(IF(A3068="","",IFERROR(IMAGE(CONCATENATE("https://us.pandora.net/on/demandware.static/-/Sites-pandora-master-catalog/default/dwbb259ca6/productimages/singlepackshot/",LEFT(A3068,FIND("-",A3068&amp;"-")-1),"_RGB.png")),""))),"{""url"":""https://us.pandora.net/on/demandware.static/-/Sites-pandora-master-catalog/default/dwbb259ca6/productimages/singlepackshot/791688C01_RGB.png"",""mode"":1}")</f>
        <v>{"url":"https://us.pandora.net/on/demandware.static/-/Sites-pandora-master-catalog/default/dwbb259ca6/productimages/singlepackshot/791688C01_RGB.png","mode":1}</v>
      </c>
      <c r="D3068" s="5" t="str">
        <f ca="1">IFERROR(ROWSDUMMYFUNCTION(IF(A3068="","",CONCATENATE("https://us.pandora.net/on/demandware.static/-/Sites-pandora-master-catalog/default/dwbb259ca6/productimages/singlepackshot/",LEFT(A3068,FIND("-",A3068&amp;"-")-1),"_RGB.png"))),"https://us.pandora.net/on/demandware.static/-/Sites-pandora-master-catalog/default/dwbb259ca6/productimages/singlepackshot/791688C01_RGB.png")</f>
        <v>https://us.pandora.net/on/demandware.static/-/Sites-pandora-master-catalog/default/dwbb259ca6/productimages/singlepackshot/791688C01_RGB.png</v>
      </c>
    </row>
    <row r="3069" spans="1:4" x14ac:dyDescent="0.25">
      <c r="A3069" s="3" t="s">
        <v>3071</v>
      </c>
      <c r="B3069" s="4">
        <v>39</v>
      </c>
      <c r="C3069" s="3" t="str">
        <f ca="1">IFERROR(ROWSDUMMYFUNCTION(IF(A3069="","",IFERROR(IMAGE(CONCATENATE("https://us.pandora.net/on/demandware.static/-/Sites-pandora-master-catalog/default/dwbb259ca6/productimages/singlepackshot/",LEFT(A3069,FIND("-",A3069&amp;"-")-1),"_RGB.png")),""))),"{""url"":""https://us.pandora.net/on/demandware.static/-/Sites-pandora-master-catalog/default/dwbb259ca6/productimages/singlepackshot/791691C01_RGB.png"",""mode"":1}")</f>
        <v>{"url":"https://us.pandora.net/on/demandware.static/-/Sites-pandora-master-catalog/default/dwbb259ca6/productimages/singlepackshot/791691C01_RGB.png","mode":1}</v>
      </c>
      <c r="D3069" s="5" t="str">
        <f ca="1">IFERROR(ROWSDUMMYFUNCTION(IF(A3069="","",CONCATENATE("https://us.pandora.net/on/demandware.static/-/Sites-pandora-master-catalog/default/dwbb259ca6/productimages/singlepackshot/",LEFT(A3069,FIND("-",A3069&amp;"-")-1),"_RGB.png"))),"https://us.pandora.net/on/demandware.static/-/Sites-pandora-master-catalog/default/dwbb259ca6/productimages/singlepackshot/791691C01_RGB.png")</f>
        <v>https://us.pandora.net/on/demandware.static/-/Sites-pandora-master-catalog/default/dwbb259ca6/productimages/singlepackshot/791691C01_RGB.png</v>
      </c>
    </row>
    <row r="3070" spans="1:4" x14ac:dyDescent="0.25">
      <c r="A3070" s="3" t="s">
        <v>3072</v>
      </c>
      <c r="B3070" s="4">
        <v>39</v>
      </c>
      <c r="C3070" s="3" t="str">
        <f ca="1">IFERROR(ROWSDUMMYFUNCTION(IF(A3070="","",IFERROR(IMAGE(CONCATENATE("https://us.pandora.net/on/demandware.static/-/Sites-pandora-master-catalog/default/dwbb259ca6/productimages/singlepackshot/",LEFT(A3070,FIND("-",A3070&amp;"-")-1),"_RGB.png")),""))),"{""url"":""https://us.pandora.net/on/demandware.static/-/Sites-pandora-master-catalog/default/dwbb259ca6/productimages/singlepackshot/791691C02_RGB.png"",""mode"":1}")</f>
        <v>{"url":"https://us.pandora.net/on/demandware.static/-/Sites-pandora-master-catalog/default/dwbb259ca6/productimages/singlepackshot/791691C02_RGB.png","mode":1}</v>
      </c>
      <c r="D3070" s="5" t="str">
        <f ca="1">IFERROR(ROWSDUMMYFUNCTION(IF(A3070="","",CONCATENATE("https://us.pandora.net/on/demandware.static/-/Sites-pandora-master-catalog/default/dwbb259ca6/productimages/singlepackshot/",LEFT(A3070,FIND("-",A3070&amp;"-")-1),"_RGB.png"))),"https://us.pandora.net/on/demandware.static/-/Sites-pandora-master-catalog/default/dwbb259ca6/productimages/singlepackshot/791691C02_RGB.png")</f>
        <v>https://us.pandora.net/on/demandware.static/-/Sites-pandora-master-catalog/default/dwbb259ca6/productimages/singlepackshot/791691C02_RGB.png</v>
      </c>
    </row>
    <row r="3071" spans="1:4" x14ac:dyDescent="0.25">
      <c r="A3071" s="3" t="s">
        <v>3073</v>
      </c>
      <c r="B3071" s="4">
        <v>39</v>
      </c>
      <c r="C3071" s="3" t="str">
        <f ca="1">IFERROR(ROWSDUMMYFUNCTION(IF(A3071="","",IFERROR(IMAGE(CONCATENATE("https://us.pandora.net/on/demandware.static/-/Sites-pandora-master-catalog/default/dwbb259ca6/productimages/singlepackshot/",LEFT(A3071,FIND("-",A3071&amp;"-")-1),"_RGB.png")),""))),"{""url"":""https://us.pandora.net/on/demandware.static/-/Sites-pandora-master-catalog/default/dwbb259ca6/productimages/singlepackshot/791691C03_RGB.png"",""mode"":1}")</f>
        <v>{"url":"https://us.pandora.net/on/demandware.static/-/Sites-pandora-master-catalog/default/dwbb259ca6/productimages/singlepackshot/791691C03_RGB.png","mode":1}</v>
      </c>
      <c r="D3071" s="5" t="str">
        <f ca="1">IFERROR(ROWSDUMMYFUNCTION(IF(A3071="","",CONCATENATE("https://us.pandora.net/on/demandware.static/-/Sites-pandora-master-catalog/default/dwbb259ca6/productimages/singlepackshot/",LEFT(A3071,FIND("-",A3071&amp;"-")-1),"_RGB.png"))),"https://us.pandora.net/on/demandware.static/-/Sites-pandora-master-catalog/default/dwbb259ca6/productimages/singlepackshot/791691C03_RGB.png")</f>
        <v>https://us.pandora.net/on/demandware.static/-/Sites-pandora-master-catalog/default/dwbb259ca6/productimages/singlepackshot/791691C03_RGB.png</v>
      </c>
    </row>
    <row r="3072" spans="1:4" x14ac:dyDescent="0.25">
      <c r="A3072" s="3" t="s">
        <v>3074</v>
      </c>
      <c r="B3072" s="4">
        <v>39</v>
      </c>
      <c r="C3072" s="3" t="str">
        <f ca="1">IFERROR(ROWSDUMMYFUNCTION(IF(A3072="","",IFERROR(IMAGE(CONCATENATE("https://us.pandora.net/on/demandware.static/-/Sites-pandora-master-catalog/default/dwbb259ca6/productimages/singlepackshot/",LEFT(A3072,FIND("-",A3072&amp;"-")-1),"_RGB.png")),""))),"{""url"":""https://us.pandora.net/on/demandware.static/-/Sites-pandora-master-catalog/default/dwbb259ca6/productimages/singlepackshot/791691C04_RGB.png"",""mode"":1}")</f>
        <v>{"url":"https://us.pandora.net/on/demandware.static/-/Sites-pandora-master-catalog/default/dwbb259ca6/productimages/singlepackshot/791691C04_RGB.png","mode":1}</v>
      </c>
      <c r="D3072" s="5" t="str">
        <f ca="1">IFERROR(ROWSDUMMYFUNCTION(IF(A3072="","",CONCATENATE("https://us.pandora.net/on/demandware.static/-/Sites-pandora-master-catalog/default/dwbb259ca6/productimages/singlepackshot/",LEFT(A3072,FIND("-",A3072&amp;"-")-1),"_RGB.png"))),"https://us.pandora.net/on/demandware.static/-/Sites-pandora-master-catalog/default/dwbb259ca6/productimages/singlepackshot/791691C04_RGB.png")</f>
        <v>https://us.pandora.net/on/demandware.static/-/Sites-pandora-master-catalog/default/dwbb259ca6/productimages/singlepackshot/791691C04_RGB.png</v>
      </c>
    </row>
    <row r="3073" spans="1:4" x14ac:dyDescent="0.25">
      <c r="A3073" s="3" t="s">
        <v>3075</v>
      </c>
      <c r="B3073" s="4">
        <v>39</v>
      </c>
      <c r="C3073" s="3" t="str">
        <f ca="1">IFERROR(ROWSDUMMYFUNCTION(IF(A3073="","",IFERROR(IMAGE(CONCATENATE("https://us.pandora.net/on/demandware.static/-/Sites-pandora-master-catalog/default/dwbb259ca6/productimages/singlepackshot/",LEFT(A3073,FIND("-",A3073&amp;"-")-1),"_RGB.png")),""))),"{""url"":""https://us.pandora.net/on/demandware.static/-/Sites-pandora-master-catalog/default/dwbb259ca6/productimages/singlepackshot/791691C05_RGB.png"",""mode"":1}")</f>
        <v>{"url":"https://us.pandora.net/on/demandware.static/-/Sites-pandora-master-catalog/default/dwbb259ca6/productimages/singlepackshot/791691C05_RGB.png","mode":1}</v>
      </c>
      <c r="D3073" s="5" t="str">
        <f ca="1">IFERROR(ROWSDUMMYFUNCTION(IF(A3073="","",CONCATENATE("https://us.pandora.net/on/demandware.static/-/Sites-pandora-master-catalog/default/dwbb259ca6/productimages/singlepackshot/",LEFT(A3073,FIND("-",A3073&amp;"-")-1),"_RGB.png"))),"https://us.pandora.net/on/demandware.static/-/Sites-pandora-master-catalog/default/dwbb259ca6/productimages/singlepackshot/791691C05_RGB.png")</f>
        <v>https://us.pandora.net/on/demandware.static/-/Sites-pandora-master-catalog/default/dwbb259ca6/productimages/singlepackshot/791691C05_RGB.png</v>
      </c>
    </row>
    <row r="3074" spans="1:4" x14ac:dyDescent="0.25">
      <c r="A3074" s="3" t="s">
        <v>3076</v>
      </c>
      <c r="B3074" s="4">
        <v>65</v>
      </c>
      <c r="C3074" s="3" t="str">
        <f ca="1">IFERROR(ROWSDUMMYFUNCTION(IF(A3074="","",IFERROR(IMAGE(CONCATENATE("https://us.pandora.net/on/demandware.static/-/Sites-pandora-master-catalog/default/dwbb259ca6/productimages/singlepackshot/",LEFT(A3074,FIND("-",A3074&amp;"-")-1),"_RGB.png")),""))),"{""url"":""https://us.pandora.net/on/demandware.static/-/Sites-pandora-master-catalog/default/dwbb259ca6/productimages/singlepackshot/791694C01_RGB.png"",""mode"":1}")</f>
        <v>{"url":"https://us.pandora.net/on/demandware.static/-/Sites-pandora-master-catalog/default/dwbb259ca6/productimages/singlepackshot/791694C01_RGB.png","mode":1}</v>
      </c>
      <c r="D3074" s="5" t="str">
        <f ca="1">IFERROR(ROWSDUMMYFUNCTION(IF(A3074="","",CONCATENATE("https://us.pandora.net/on/demandware.static/-/Sites-pandora-master-catalog/default/dwbb259ca6/productimages/singlepackshot/",LEFT(A3074,FIND("-",A3074&amp;"-")-1),"_RGB.png"))),"https://us.pandora.net/on/demandware.static/-/Sites-pandora-master-catalog/default/dwbb259ca6/productimages/singlepackshot/791694C01_RGB.png")</f>
        <v>https://us.pandora.net/on/demandware.static/-/Sites-pandora-master-catalog/default/dwbb259ca6/productimages/singlepackshot/791694C01_RGB.png</v>
      </c>
    </row>
    <row r="3075" spans="1:4" x14ac:dyDescent="0.25">
      <c r="A3075" s="3" t="s">
        <v>3077</v>
      </c>
      <c r="B3075" s="4">
        <v>65</v>
      </c>
      <c r="C3075" s="3" t="str">
        <f ca="1">IFERROR(ROWSDUMMYFUNCTION(IF(A3075="","",IFERROR(IMAGE(CONCATENATE("https://us.pandora.net/on/demandware.static/-/Sites-pandora-master-catalog/default/dwbb259ca6/productimages/singlepackshot/",LEFT(A3075,FIND("-",A3075&amp;"-")-1),"_RGB.png")),""))),"{""url"":""https://us.pandora.net/on/demandware.static/-/Sites-pandora-master-catalog/default/dwbb259ca6/productimages/singlepackshot/791697C01_RGB.png"",""mode"":1}")</f>
        <v>{"url":"https://us.pandora.net/on/demandware.static/-/Sites-pandora-master-catalog/default/dwbb259ca6/productimages/singlepackshot/791697C01_RGB.png","mode":1}</v>
      </c>
      <c r="D3075" s="5" t="str">
        <f ca="1">IFERROR(ROWSDUMMYFUNCTION(IF(A3075="","",CONCATENATE("https://us.pandora.net/on/demandware.static/-/Sites-pandora-master-catalog/default/dwbb259ca6/productimages/singlepackshot/",LEFT(A3075,FIND("-",A3075&amp;"-")-1),"_RGB.png"))),"https://us.pandora.net/on/demandware.static/-/Sites-pandora-master-catalog/default/dwbb259ca6/productimages/singlepackshot/791697C01_RGB.png")</f>
        <v>https://us.pandora.net/on/demandware.static/-/Sites-pandora-master-catalog/default/dwbb259ca6/productimages/singlepackshot/791697C01_RGB.png</v>
      </c>
    </row>
    <row r="3076" spans="1:4" x14ac:dyDescent="0.25">
      <c r="A3076" s="3" t="s">
        <v>3078</v>
      </c>
      <c r="B3076" s="4">
        <v>65</v>
      </c>
      <c r="C3076" s="3" t="str">
        <f ca="1">IFERROR(ROWSDUMMYFUNCTION(IF(A3076="","",IFERROR(IMAGE(CONCATENATE("https://us.pandora.net/on/demandware.static/-/Sites-pandora-master-catalog/default/dwbb259ca6/productimages/singlepackshot/",LEFT(A3076,FIND("-",A3076&amp;"-")-1),"_RGB.png")),""))),"{""url"":""https://us.pandora.net/on/demandware.static/-/Sites-pandora-master-catalog/default/dwbb259ca6/productimages/singlepackshot/791714CZ_RGB.png"",""mode"":1}")</f>
        <v>{"url":"https://us.pandora.net/on/demandware.static/-/Sites-pandora-master-catalog/default/dwbb259ca6/productimages/singlepackshot/791714CZ_RGB.png","mode":1}</v>
      </c>
      <c r="D3076" s="5" t="str">
        <f ca="1">IFERROR(ROWSDUMMYFUNCTION(IF(A3076="","",CONCATENATE("https://us.pandora.net/on/demandware.static/-/Sites-pandora-master-catalog/default/dwbb259ca6/productimages/singlepackshot/",LEFT(A3076,FIND("-",A3076&amp;"-")-1),"_RGB.png"))),"https://us.pandora.net/on/demandware.static/-/Sites-pandora-master-catalog/default/dwbb259ca6/productimages/singlepackshot/791714CZ_RGB.png")</f>
        <v>https://us.pandora.net/on/demandware.static/-/Sites-pandora-master-catalog/default/dwbb259ca6/productimages/singlepackshot/791714CZ_RGB.png</v>
      </c>
    </row>
    <row r="3077" spans="1:4" x14ac:dyDescent="0.25">
      <c r="A3077" s="3" t="s">
        <v>3079</v>
      </c>
      <c r="B3077" s="4">
        <v>39</v>
      </c>
      <c r="C3077" s="3" t="str">
        <f ca="1">IFERROR(ROWSDUMMYFUNCTION(IF(A3077="","",IFERROR(IMAGE(CONCATENATE("https://us.pandora.net/on/demandware.static/-/Sites-pandora-master-catalog/default/dwbb259ca6/productimages/singlepackshot/",LEFT(A3077,FIND("-",A3077&amp;"-")-1),"_RGB.png")),""))),"{""url"":""https://us.pandora.net/on/demandware.static/-/Sites-pandora-master-catalog/default/dwbb259ca6/productimages/singlepackshot/791726PCZ_RGB.png"",""mode"":1}")</f>
        <v>{"url":"https://us.pandora.net/on/demandware.static/-/Sites-pandora-master-catalog/default/dwbb259ca6/productimages/singlepackshot/791726PCZ_RGB.png","mode":1}</v>
      </c>
      <c r="D3077" s="5" t="str">
        <f ca="1">IFERROR(ROWSDUMMYFUNCTION(IF(A3077="","",CONCATENATE("https://us.pandora.net/on/demandware.static/-/Sites-pandora-master-catalog/default/dwbb259ca6/productimages/singlepackshot/",LEFT(A3077,FIND("-",A3077&amp;"-")-1),"_RGB.png"))),"https://us.pandora.net/on/demandware.static/-/Sites-pandora-master-catalog/default/dwbb259ca6/productimages/singlepackshot/791726PCZ_RGB.png")</f>
        <v>https://us.pandora.net/on/demandware.static/-/Sites-pandora-master-catalog/default/dwbb259ca6/productimages/singlepackshot/791726PCZ_RGB.png</v>
      </c>
    </row>
    <row r="3078" spans="1:4" x14ac:dyDescent="0.25">
      <c r="A3078" s="3" t="s">
        <v>3080</v>
      </c>
      <c r="B3078" s="4">
        <v>69</v>
      </c>
      <c r="C3078" s="3" t="str">
        <f ca="1">IFERROR(ROWSDUMMYFUNCTION(IF(A3078="","",IFERROR(IMAGE(CONCATENATE("https://us.pandora.net/on/demandware.static/-/Sites-pandora-master-catalog/default/dwbb259ca6/productimages/singlepackshot/",LEFT(A3078,FIND("-",A3078&amp;"-")-1),"_RGB.png")),""))),"{""url"":""https://us.pandora.net/on/demandware.static/-/Sites-pandora-master-catalog/default/dwbb259ca6/productimages/singlepackshot/791728CZ_RGB.png"",""mode"":1}")</f>
        <v>{"url":"https://us.pandora.net/on/demandware.static/-/Sites-pandora-master-catalog/default/dwbb259ca6/productimages/singlepackshot/791728CZ_RGB.png","mode":1}</v>
      </c>
      <c r="D3078" s="5" t="str">
        <f ca="1">IFERROR(ROWSDUMMYFUNCTION(IF(A3078="","",CONCATENATE("https://us.pandora.net/on/demandware.static/-/Sites-pandora-master-catalog/default/dwbb259ca6/productimages/singlepackshot/",LEFT(A3078,FIND("-",A3078&amp;"-")-1),"_RGB.png"))),"https://us.pandora.net/on/demandware.static/-/Sites-pandora-master-catalog/default/dwbb259ca6/productimages/singlepackshot/791728CZ_RGB.png")</f>
        <v>https://us.pandora.net/on/demandware.static/-/Sites-pandora-master-catalog/default/dwbb259ca6/productimages/singlepackshot/791728CZ_RGB.png</v>
      </c>
    </row>
    <row r="3079" spans="1:4" x14ac:dyDescent="0.25">
      <c r="A3079" s="3" t="s">
        <v>3081</v>
      </c>
      <c r="B3079" s="4">
        <v>65</v>
      </c>
      <c r="C3079" s="3" t="str">
        <f ca="1">IFERROR(ROWSDUMMYFUNCTION(IF(A3079="","",IFERROR(IMAGE(CONCATENATE("https://us.pandora.net/on/demandware.static/-/Sites-pandora-master-catalog/default/dwbb259ca6/productimages/singlepackshot/",LEFT(A3079,FIND("-",A3079&amp;"-")-1),"_RGB.png")),""))),"{""url"":""https://us.pandora.net/on/demandware.static/-/Sites-pandora-master-catalog/default/dwbb259ca6/productimages/singlepackshot/791736CZ_RGB.png"",""mode"":1}")</f>
        <v>{"url":"https://us.pandora.net/on/demandware.static/-/Sites-pandora-master-catalog/default/dwbb259ca6/productimages/singlepackshot/791736CZ_RGB.png","mode":1}</v>
      </c>
      <c r="D3079" s="5" t="str">
        <f ca="1">IFERROR(ROWSDUMMYFUNCTION(IF(A3079="","",CONCATENATE("https://us.pandora.net/on/demandware.static/-/Sites-pandora-master-catalog/default/dwbb259ca6/productimages/singlepackshot/",LEFT(A3079,FIND("-",A3079&amp;"-")-1),"_RGB.png"))),"https://us.pandora.net/on/demandware.static/-/Sites-pandora-master-catalog/default/dwbb259ca6/productimages/singlepackshot/791736CZ_RGB.png")</f>
        <v>https://us.pandora.net/on/demandware.static/-/Sites-pandora-master-catalog/default/dwbb259ca6/productimages/singlepackshot/791736CZ_RGB.png</v>
      </c>
    </row>
    <row r="3080" spans="1:4" x14ac:dyDescent="0.25">
      <c r="A3080" s="3" t="s">
        <v>3082</v>
      </c>
      <c r="B3080" s="4">
        <v>25</v>
      </c>
      <c r="C3080" s="3" t="str">
        <f ca="1">IFERROR(ROWSDUMMYFUNCTION(IF(A3080="","",IFERROR(IMAGE(CONCATENATE("https://us.pandora.net/on/demandware.static/-/Sites-pandora-master-catalog/default/dwbb259ca6/productimages/singlepackshot/",LEFT(A3080,FIND("-",A3080&amp;"-")-1),"_RGB.png")),""))),"{""url"":""https://us.pandora.net/on/demandware.static/-/Sites-pandora-master-catalog/default/dwbb259ca6/productimages/singlepackshot/791752_RGB.png"",""mode"":1}")</f>
        <v>{"url":"https://us.pandora.net/on/demandware.static/-/Sites-pandora-master-catalog/default/dwbb259ca6/productimages/singlepackshot/791752_RGB.png","mode":1}</v>
      </c>
      <c r="D3080" s="5" t="str">
        <f ca="1">IFERROR(ROWSDUMMYFUNCTION(IF(A3080="","",CONCATENATE("https://us.pandora.net/on/demandware.static/-/Sites-pandora-master-catalog/default/dwbb259ca6/productimages/singlepackshot/",LEFT(A3080,FIND("-",A3080&amp;"-")-1),"_RGB.png"))),"https://us.pandora.net/on/demandware.static/-/Sites-pandora-master-catalog/default/dwbb259ca6/productimages/singlepackshot/791752_RGB.png")</f>
        <v>https://us.pandora.net/on/demandware.static/-/Sites-pandora-master-catalog/default/dwbb259ca6/productimages/singlepackshot/791752_RGB.png</v>
      </c>
    </row>
    <row r="3081" spans="1:4" x14ac:dyDescent="0.25">
      <c r="A3081" s="3" t="s">
        <v>3083</v>
      </c>
      <c r="B3081" s="4">
        <v>39</v>
      </c>
      <c r="C3081" s="3" t="str">
        <f ca="1">IFERROR(ROWSDUMMYFUNCTION(IF(A3081="","",IFERROR(IMAGE(CONCATENATE("https://us.pandora.net/on/demandware.static/-/Sites-pandora-master-catalog/default/dwbb259ca6/productimages/singlepackshot/",LEFT(A3081,FIND("-",A3081&amp;"-")-1),"_RGB.png")),""))),"{""url"":""https://us.pandora.net/on/demandware.static/-/Sites-pandora-master-catalog/default/dwbb259ca6/productimages/singlepackshot/791788_RGB.png"",""mode"":1}")</f>
        <v>{"url":"https://us.pandora.net/on/demandware.static/-/Sites-pandora-master-catalog/default/dwbb259ca6/productimages/singlepackshot/791788_RGB.png","mode":1}</v>
      </c>
      <c r="D3081" s="5" t="str">
        <f ca="1">IFERROR(ROWSDUMMYFUNCTION(IF(A3081="","",CONCATENATE("https://us.pandora.net/on/demandware.static/-/Sites-pandora-master-catalog/default/dwbb259ca6/productimages/singlepackshot/",LEFT(A3081,FIND("-",A3081&amp;"-")-1),"_RGB.png"))),"https://us.pandora.net/on/demandware.static/-/Sites-pandora-master-catalog/default/dwbb259ca6/productimages/singlepackshot/791788_RGB.png")</f>
        <v>https://us.pandora.net/on/demandware.static/-/Sites-pandora-master-catalog/default/dwbb259ca6/productimages/singlepackshot/791788_RGB.png</v>
      </c>
    </row>
    <row r="3082" spans="1:4" x14ac:dyDescent="0.25">
      <c r="A3082" s="3" t="s">
        <v>3084</v>
      </c>
      <c r="B3082" s="4">
        <v>45</v>
      </c>
      <c r="C3082" s="3" t="str">
        <f ca="1">IFERROR(ROWSDUMMYFUNCTION(IF(A3082="","",IFERROR(IMAGE(CONCATENATE("https://us.pandora.net/on/demandware.static/-/Sites-pandora-master-catalog/default/dwbb259ca6/productimages/singlepackshot/",LEFT(A3082,FIND("-",A3082&amp;"-")-1),"_RGB.png")),""))),"{""url"":""https://us.pandora.net/on/demandware.static/-/Sites-pandora-master-catalog/default/dwbb259ca6/productimages/singlepackshot/791817CZ_RGB.png"",""mode"":1}")</f>
        <v>{"url":"https://us.pandora.net/on/demandware.static/-/Sites-pandora-master-catalog/default/dwbb259ca6/productimages/singlepackshot/791817CZ_RGB.png","mode":1}</v>
      </c>
      <c r="D3082" s="5" t="str">
        <f ca="1">IFERROR(ROWSDUMMYFUNCTION(IF(A3082="","",CONCATENATE("https://us.pandora.net/on/demandware.static/-/Sites-pandora-master-catalog/default/dwbb259ca6/productimages/singlepackshot/",LEFT(A3082,FIND("-",A3082&amp;"-")-1),"_RGB.png"))),"https://us.pandora.net/on/demandware.static/-/Sites-pandora-master-catalog/default/dwbb259ca6/productimages/singlepackshot/791817CZ_RGB.png")</f>
        <v>https://us.pandora.net/on/demandware.static/-/Sites-pandora-master-catalog/default/dwbb259ca6/productimages/singlepackshot/791817CZ_RGB.png</v>
      </c>
    </row>
    <row r="3083" spans="1:4" x14ac:dyDescent="0.25">
      <c r="A3083" s="3" t="s">
        <v>3085</v>
      </c>
      <c r="B3083" s="4">
        <v>45</v>
      </c>
      <c r="C3083" s="3" t="str">
        <f ca="1">IFERROR(ROWSDUMMYFUNCTION(IF(A3083="","",IFERROR(IMAGE(CONCATENATE("https://us.pandora.net/on/demandware.static/-/Sites-pandora-master-catalog/default/dwbb259ca6/productimages/singlepackshot/",LEFT(A3083,FIND("-",A3083&amp;"-")-1),"_RGB.png")),""))),"{""url"":""https://us.pandora.net/on/demandware.static/-/Sites-pandora-master-catalog/default/dwbb259ca6/productimages/singlepackshot/791817MCZ_RGB.png"",""mode"":1}")</f>
        <v>{"url":"https://us.pandora.net/on/demandware.static/-/Sites-pandora-master-catalog/default/dwbb259ca6/productimages/singlepackshot/791817MCZ_RGB.png","mode":1}</v>
      </c>
      <c r="D3083" s="5" t="str">
        <f ca="1">IFERROR(ROWSDUMMYFUNCTION(IF(A3083="","",CONCATENATE("https://us.pandora.net/on/demandware.static/-/Sites-pandora-master-catalog/default/dwbb259ca6/productimages/singlepackshot/",LEFT(A3083,FIND("-",A3083&amp;"-")-1),"_RGB.png"))),"https://us.pandora.net/on/demandware.static/-/Sites-pandora-master-catalog/default/dwbb259ca6/productimages/singlepackshot/791817MCZ_RGB.png")</f>
        <v>https://us.pandora.net/on/demandware.static/-/Sites-pandora-master-catalog/default/dwbb259ca6/productimages/singlepackshot/791817MCZ_RGB.png</v>
      </c>
    </row>
    <row r="3084" spans="1:4" x14ac:dyDescent="0.25">
      <c r="A3084" s="3" t="s">
        <v>3086</v>
      </c>
      <c r="B3084" s="4">
        <v>45</v>
      </c>
      <c r="C3084" s="3" t="str">
        <f ca="1">IFERROR(ROWSDUMMYFUNCTION(IF(A3084="","",IFERROR(IMAGE(CONCATENATE("https://us.pandora.net/on/demandware.static/-/Sites-pandora-master-catalog/default/dwbb259ca6/productimages/singlepackshot/",LEFT(A3084,FIND("-",A3084&amp;"-")-1),"_RGB.png")),""))),"{""url"":""https://us.pandora.net/on/demandware.static/-/Sites-pandora-master-catalog/default/dwbb259ca6/productimages/singlepackshot/791817NSBMX_RGB.png"",""mode"":1}")</f>
        <v>{"url":"https://us.pandora.net/on/demandware.static/-/Sites-pandora-master-catalog/default/dwbb259ca6/productimages/singlepackshot/791817NSBMX_RGB.png","mode":1}</v>
      </c>
      <c r="D3084" s="5" t="str">
        <f ca="1">IFERROR(ROWSDUMMYFUNCTION(IF(A3084="","",CONCATENATE("https://us.pandora.net/on/demandware.static/-/Sites-pandora-master-catalog/default/dwbb259ca6/productimages/singlepackshot/",LEFT(A3084,FIND("-",A3084&amp;"-")-1),"_RGB.png"))),"https://us.pandora.net/on/demandware.static/-/Sites-pandora-master-catalog/default/dwbb259ca6/productimages/singlepackshot/791817NSBMX_RGB.png")</f>
        <v>https://us.pandora.net/on/demandware.static/-/Sites-pandora-master-catalog/default/dwbb259ca6/productimages/singlepackshot/791817NSBMX_RGB.png</v>
      </c>
    </row>
    <row r="3085" spans="1:4" x14ac:dyDescent="0.25">
      <c r="A3085" s="3" t="s">
        <v>3087</v>
      </c>
      <c r="B3085" s="4">
        <v>45</v>
      </c>
      <c r="C3085" s="3" t="str">
        <f ca="1">IFERROR(ROWSDUMMYFUNCTION(IF(A3085="","",IFERROR(IMAGE(CONCATENATE("https://us.pandora.net/on/demandware.static/-/Sites-pandora-master-catalog/default/dwbb259ca6/productimages/singlepackshot/",LEFT(A3085,FIND("-",A3085&amp;"-")-1),"_RGB.png")),""))),"{""url"":""https://us.pandora.net/on/demandware.static/-/Sites-pandora-master-catalog/default/dwbb259ca6/productimages/singlepackshot/791817PCZ_RGB.png"",""mode"":1}")</f>
        <v>{"url":"https://us.pandora.net/on/demandware.static/-/Sites-pandora-master-catalog/default/dwbb259ca6/productimages/singlepackshot/791817PCZ_RGB.png","mode":1}</v>
      </c>
      <c r="D3085" s="5" t="str">
        <f ca="1">IFERROR(ROWSDUMMYFUNCTION(IF(A3085="","",CONCATENATE("https://us.pandora.net/on/demandware.static/-/Sites-pandora-master-catalog/default/dwbb259ca6/productimages/singlepackshot/",LEFT(A3085,FIND("-",A3085&amp;"-")-1),"_RGB.png"))),"https://us.pandora.net/on/demandware.static/-/Sites-pandora-master-catalog/default/dwbb259ca6/productimages/singlepackshot/791817PCZ_RGB.png")</f>
        <v>https://us.pandora.net/on/demandware.static/-/Sites-pandora-master-catalog/default/dwbb259ca6/productimages/singlepackshot/791817PCZ_RGB.png</v>
      </c>
    </row>
    <row r="3086" spans="1:4" x14ac:dyDescent="0.25">
      <c r="A3086" s="3" t="s">
        <v>3088</v>
      </c>
      <c r="B3086" s="4">
        <v>19</v>
      </c>
      <c r="C3086" s="3" t="str">
        <f ca="1">IFERROR(ROWSDUMMYFUNCTION(IF(A3086="","",IFERROR(IMAGE(CONCATENATE("https://us.pandora.net/on/demandware.static/-/Sites-pandora-master-catalog/default/dwbb259ca6/productimages/singlepackshot/",LEFT(A3086,FIND("-",A3086&amp;"-")-1),"_RGB.png")),""))),"{""url"":""https://us.pandora.net/on/demandware.static/-/Sites-pandora-master-catalog/default/dwbb259ca6/productimages/singlepackshot/791872_RGB.png"",""mode"":1}")</f>
        <v>{"url":"https://us.pandora.net/on/demandware.static/-/Sites-pandora-master-catalog/default/dwbb259ca6/productimages/singlepackshot/791872_RGB.png","mode":1}</v>
      </c>
      <c r="D3086" s="5" t="str">
        <f ca="1">IFERROR(ROWSDUMMYFUNCTION(IF(A3086="","",CONCATENATE("https://us.pandora.net/on/demandware.static/-/Sites-pandora-master-catalog/default/dwbb259ca6/productimages/singlepackshot/",LEFT(A3086,FIND("-",A3086&amp;"-")-1),"_RGB.png"))),"https://us.pandora.net/on/demandware.static/-/Sites-pandora-master-catalog/default/dwbb259ca6/productimages/singlepackshot/791872_RGB.png")</f>
        <v>https://us.pandora.net/on/demandware.static/-/Sites-pandora-master-catalog/default/dwbb259ca6/productimages/singlepackshot/791872_RGB.png</v>
      </c>
    </row>
    <row r="3087" spans="1:4" x14ac:dyDescent="0.25">
      <c r="A3087" s="3" t="s">
        <v>3089</v>
      </c>
      <c r="B3087" s="4">
        <v>35</v>
      </c>
      <c r="C3087" s="3" t="str">
        <f ca="1">IFERROR(ROWSDUMMYFUNCTION(IF(A3087="","",IFERROR(IMAGE(CONCATENATE("https://us.pandora.net/on/demandware.static/-/Sites-pandora-master-catalog/default/dwbb259ca6/productimages/singlepackshot/",LEFT(A3087,FIND("-",A3087&amp;"-")-1),"_RGB.png")),""))),"{""url"":""https://us.pandora.net/on/demandware.static/-/Sites-pandora-master-catalog/default/dwbb259ca6/productimages/singlepackshot/791892_RGB.png"",""mode"":1}")</f>
        <v>{"url":"https://us.pandora.net/on/demandware.static/-/Sites-pandora-master-catalog/default/dwbb259ca6/productimages/singlepackshot/791892_RGB.png","mode":1}</v>
      </c>
      <c r="D3087" s="5" t="str">
        <f ca="1">IFERROR(ROWSDUMMYFUNCTION(IF(A3087="","",CONCATENATE("https://us.pandora.net/on/demandware.static/-/Sites-pandora-master-catalog/default/dwbb259ca6/productimages/singlepackshot/",LEFT(A3087,FIND("-",A3087&amp;"-")-1),"_RGB.png"))),"https://us.pandora.net/on/demandware.static/-/Sites-pandora-master-catalog/default/dwbb259ca6/productimages/singlepackshot/791892_RGB.png")</f>
        <v>https://us.pandora.net/on/demandware.static/-/Sites-pandora-master-catalog/default/dwbb259ca6/productimages/singlepackshot/791892_RGB.png</v>
      </c>
    </row>
    <row r="3088" spans="1:4" x14ac:dyDescent="0.25">
      <c r="A3088" s="3" t="s">
        <v>3090</v>
      </c>
      <c r="B3088" s="4">
        <v>39</v>
      </c>
      <c r="C3088" s="3" t="str">
        <f ca="1">IFERROR(ROWSDUMMYFUNCTION(IF(A3088="","",IFERROR(IMAGE(CONCATENATE("https://us.pandora.net/on/demandware.static/-/Sites-pandora-master-catalog/default/dwbb259ca6/productimages/singlepackshot/",LEFT(A3088,FIND("-",A3088&amp;"-")-1),"_RGB.png")),""))),"{""url"":""https://us.pandora.net/on/demandware.static/-/Sites-pandora-master-catalog/default/dwbb259ca6/productimages/singlepackshot/791946PCZ_RGB.png"",""mode"":1}")</f>
        <v>{"url":"https://us.pandora.net/on/demandware.static/-/Sites-pandora-master-catalog/default/dwbb259ca6/productimages/singlepackshot/791946PCZ_RGB.png","mode":1}</v>
      </c>
      <c r="D3088" s="5" t="str">
        <f ca="1">IFERROR(ROWSDUMMYFUNCTION(IF(A3088="","",CONCATENATE("https://us.pandora.net/on/demandware.static/-/Sites-pandora-master-catalog/default/dwbb259ca6/productimages/singlepackshot/",LEFT(A3088,FIND("-",A3088&amp;"-")-1),"_RGB.png"))),"https://us.pandora.net/on/demandware.static/-/Sites-pandora-master-catalog/default/dwbb259ca6/productimages/singlepackshot/791946PCZ_RGB.png")</f>
        <v>https://us.pandora.net/on/demandware.static/-/Sites-pandora-master-catalog/default/dwbb259ca6/productimages/singlepackshot/791946PCZ_RGB.png</v>
      </c>
    </row>
    <row r="3089" spans="1:4" x14ac:dyDescent="0.25">
      <c r="A3089" s="3" t="s">
        <v>3091</v>
      </c>
      <c r="B3089" s="4">
        <v>59</v>
      </c>
      <c r="C3089" s="3" t="str">
        <f ca="1">IFERROR(ROWSDUMMYFUNCTION(IF(A3089="","",IFERROR(IMAGE(CONCATENATE("https://us.pandora.net/on/demandware.static/-/Sites-pandora-master-catalog/default/dwbb259ca6/productimages/singlepackshot/",LEFT(A3089,FIND("-",A3089&amp;"-")-1),"_RGB.png")),""))),"{""url"":""https://us.pandora.net/on/demandware.static/-/Sites-pandora-master-catalog/default/dwbb259ca6/productimages/singlepackshot/791948CZ_RGB.png"",""mode"":1}")</f>
        <v>{"url":"https://us.pandora.net/on/demandware.static/-/Sites-pandora-master-catalog/default/dwbb259ca6/productimages/singlepackshot/791948CZ_RGB.png","mode":1}</v>
      </c>
      <c r="D3089" s="5" t="str">
        <f ca="1">IFERROR(ROWSDUMMYFUNCTION(IF(A3089="","",CONCATENATE("https://us.pandora.net/on/demandware.static/-/Sites-pandora-master-catalog/default/dwbb259ca6/productimages/singlepackshot/",LEFT(A3089,FIND("-",A3089&amp;"-")-1),"_RGB.png"))),"https://us.pandora.net/on/demandware.static/-/Sites-pandora-master-catalog/default/dwbb259ca6/productimages/singlepackshot/791948CZ_RGB.png")</f>
        <v>https://us.pandora.net/on/demandware.static/-/Sites-pandora-master-catalog/default/dwbb259ca6/productimages/singlepackshot/791948CZ_RGB.png</v>
      </c>
    </row>
    <row r="3090" spans="1:4" x14ac:dyDescent="0.25">
      <c r="A3090" s="3" t="s">
        <v>3092</v>
      </c>
      <c r="B3090" s="4">
        <v>39</v>
      </c>
      <c r="C3090" s="3" t="str">
        <f ca="1">IFERROR(ROWSDUMMYFUNCTION(IF(A3090="","",IFERROR(IMAGE(CONCATENATE("https://us.pandora.net/on/demandware.static/-/Sites-pandora-master-catalog/default/dwbb259ca6/productimages/singlepackshot/",LEFT(A3090,FIND("-",A3090&amp;"-")-1),"_RGB.png")),""))),"{""url"":""https://us.pandora.net/on/demandware.static/-/Sites-pandora-master-catalog/default/dwbb259ca6/productimages/singlepackshot/791972C01_RGB.png"",""mode"":1}")</f>
        <v>{"url":"https://us.pandora.net/on/demandware.static/-/Sites-pandora-master-catalog/default/dwbb259ca6/productimages/singlepackshot/791972C01_RGB.png","mode":1}</v>
      </c>
      <c r="D3090" s="5" t="str">
        <f ca="1">IFERROR(ROWSDUMMYFUNCTION(IF(A3090="","",CONCATENATE("https://us.pandora.net/on/demandware.static/-/Sites-pandora-master-catalog/default/dwbb259ca6/productimages/singlepackshot/",LEFT(A3090,FIND("-",A3090&amp;"-")-1),"_RGB.png"))),"https://us.pandora.net/on/demandware.static/-/Sites-pandora-master-catalog/default/dwbb259ca6/productimages/singlepackshot/791972C01_RGB.png")</f>
        <v>https://us.pandora.net/on/demandware.static/-/Sites-pandora-master-catalog/default/dwbb259ca6/productimages/singlepackshot/791972C01_RGB.png</v>
      </c>
    </row>
    <row r="3091" spans="1:4" x14ac:dyDescent="0.25">
      <c r="A3091" s="3" t="s">
        <v>3093</v>
      </c>
      <c r="B3091" s="4">
        <v>39</v>
      </c>
      <c r="C3091" s="3" t="str">
        <f ca="1">IFERROR(ROWSDUMMYFUNCTION(IF(A3091="","",IFERROR(IMAGE(CONCATENATE("https://us.pandora.net/on/demandware.static/-/Sites-pandora-master-catalog/default/dwbb259ca6/productimages/singlepackshot/",LEFT(A3091,FIND("-",A3091&amp;"-")-1),"_RGB.png")),""))),"{""url"":""https://us.pandora.net/on/demandware.static/-/Sites-pandora-master-catalog/default/dwbb259ca6/productimages/singlepackshot/791972CZ_RGB.png"",""mode"":1}")</f>
        <v>{"url":"https://us.pandora.net/on/demandware.static/-/Sites-pandora-master-catalog/default/dwbb259ca6/productimages/singlepackshot/791972CZ_RGB.png","mode":1}</v>
      </c>
      <c r="D3091" s="5" t="str">
        <f ca="1">IFERROR(ROWSDUMMYFUNCTION(IF(A3091="","",CONCATENATE("https://us.pandora.net/on/demandware.static/-/Sites-pandora-master-catalog/default/dwbb259ca6/productimages/singlepackshot/",LEFT(A3091,FIND("-",A3091&amp;"-")-1),"_RGB.png"))),"https://us.pandora.net/on/demandware.static/-/Sites-pandora-master-catalog/default/dwbb259ca6/productimages/singlepackshot/791972CZ_RGB.png")</f>
        <v>https://us.pandora.net/on/demandware.static/-/Sites-pandora-master-catalog/default/dwbb259ca6/productimages/singlepackshot/791972CZ_RGB.png</v>
      </c>
    </row>
    <row r="3092" spans="1:4" x14ac:dyDescent="0.25">
      <c r="A3092" s="3" t="s">
        <v>3094</v>
      </c>
      <c r="B3092" s="4">
        <v>39</v>
      </c>
      <c r="C3092" s="3" t="str">
        <f ca="1">IFERROR(ROWSDUMMYFUNCTION(IF(A3092="","",IFERROR(IMAGE(CONCATENATE("https://us.pandora.net/on/demandware.static/-/Sites-pandora-master-catalog/default/dwbb259ca6/productimages/singlepackshot/",LEFT(A3092,FIND("-",A3092&amp;"-")-1),"_RGB.png")),""))),"{""url"":""https://us.pandora.net/on/demandware.static/-/Sites-pandora-master-catalog/default/dwbb259ca6/productimages/singlepackshot/791972PCZ_RGB.png"",""mode"":1}")</f>
        <v>{"url":"https://us.pandora.net/on/demandware.static/-/Sites-pandora-master-catalog/default/dwbb259ca6/productimages/singlepackshot/791972PCZ_RGB.png","mode":1}</v>
      </c>
      <c r="D3092" s="5" t="str">
        <f ca="1">IFERROR(ROWSDUMMYFUNCTION(IF(A3092="","",CONCATENATE("https://us.pandora.net/on/demandware.static/-/Sites-pandora-master-catalog/default/dwbb259ca6/productimages/singlepackshot/",LEFT(A3092,FIND("-",A3092&amp;"-")-1),"_RGB.png"))),"https://us.pandora.net/on/demandware.static/-/Sites-pandora-master-catalog/default/dwbb259ca6/productimages/singlepackshot/791972PCZ_RGB.png")</f>
        <v>https://us.pandora.net/on/demandware.static/-/Sites-pandora-master-catalog/default/dwbb259ca6/productimages/singlepackshot/791972PCZ_RGB.png</v>
      </c>
    </row>
    <row r="3093" spans="1:4" x14ac:dyDescent="0.25">
      <c r="A3093" s="3" t="s">
        <v>3095</v>
      </c>
      <c r="B3093" s="4">
        <v>29</v>
      </c>
      <c r="C3093" s="3" t="str">
        <f ca="1">IFERROR(ROWSDUMMYFUNCTION(IF(A3093="","",IFERROR(IMAGE(CONCATENATE("https://us.pandora.net/on/demandware.static/-/Sites-pandora-master-catalog/default/dwbb259ca6/productimages/singlepackshot/",LEFT(A3093,FIND("-",A3093&amp;"-")-1),"_RGB.png")),""))),"{""url"":""https://us.pandora.net/on/demandware.static/-/Sites-pandora-master-catalog/default/dwbb259ca6/productimages/singlepackshot/791978_RGB.png"",""mode"":1}")</f>
        <v>{"url":"https://us.pandora.net/on/demandware.static/-/Sites-pandora-master-catalog/default/dwbb259ca6/productimages/singlepackshot/791978_RGB.png","mode":1}</v>
      </c>
      <c r="D3093" s="5" t="str">
        <f ca="1">IFERROR(ROWSDUMMYFUNCTION(IF(A3093="","",CONCATENATE("https://us.pandora.net/on/demandware.static/-/Sites-pandora-master-catalog/default/dwbb259ca6/productimages/singlepackshot/",LEFT(A3093,FIND("-",A3093&amp;"-")-1),"_RGB.png"))),"https://us.pandora.net/on/demandware.static/-/Sites-pandora-master-catalog/default/dwbb259ca6/productimages/singlepackshot/791978_RGB.png")</f>
        <v>https://us.pandora.net/on/demandware.static/-/Sites-pandora-master-catalog/default/dwbb259ca6/productimages/singlepackshot/791978_RGB.png</v>
      </c>
    </row>
    <row r="3094" spans="1:4" x14ac:dyDescent="0.25">
      <c r="A3094" s="3" t="s">
        <v>3096</v>
      </c>
      <c r="B3094" s="4">
        <v>65</v>
      </c>
      <c r="C3094" s="3" t="str">
        <f ca="1">IFERROR(ROWSDUMMYFUNCTION(IF(A3094="","",IFERROR(IMAGE(CONCATENATE("https://us.pandora.net/on/demandware.static/-/Sites-pandora-master-catalog/default/dwbb259ca6/productimages/singlepackshot/",LEFT(A3094,FIND("-",A3094&amp;"-")-1),"_RGB.png")),""))),"{""url"":""https://us.pandora.net/on/demandware.static/-/Sites-pandora-master-catalog/default/dwbb259ca6/productimages/singlepackshot/791993CZ_RGB.png"",""mode"":1}")</f>
        <v>{"url":"https://us.pandora.net/on/demandware.static/-/Sites-pandora-master-catalog/default/dwbb259ca6/productimages/singlepackshot/791993CZ_RGB.png","mode":1}</v>
      </c>
      <c r="D3094" s="5" t="str">
        <f ca="1">IFERROR(ROWSDUMMYFUNCTION(IF(A3094="","",CONCATENATE("https://us.pandora.net/on/demandware.static/-/Sites-pandora-master-catalog/default/dwbb259ca6/productimages/singlepackshot/",LEFT(A3094,FIND("-",A3094&amp;"-")-1),"_RGB.png"))),"https://us.pandora.net/on/demandware.static/-/Sites-pandora-master-catalog/default/dwbb259ca6/productimages/singlepackshot/791993CZ_RGB.png")</f>
        <v>https://us.pandora.net/on/demandware.static/-/Sites-pandora-master-catalog/default/dwbb259ca6/productimages/singlepackshot/791993CZ_RGB.png</v>
      </c>
    </row>
    <row r="3095" spans="1:4" x14ac:dyDescent="0.25">
      <c r="A3095" s="3" t="s">
        <v>3097</v>
      </c>
      <c r="B3095" s="4">
        <v>39</v>
      </c>
      <c r="C3095" s="3" t="str">
        <f ca="1">IFERROR(ROWSDUMMYFUNCTION(IF(A3095="","",IFERROR(IMAGE(CONCATENATE("https://us.pandora.net/on/demandware.static/-/Sites-pandora-master-catalog/default/dwbb259ca6/productimages/singlepackshot/",LEFT(A3095,FIND("-",A3095&amp;"-")-1),"_RGB.png")),""))),"{""url"":""https://us.pandora.net/on/demandware.static/-/Sites-pandora-master-catalog/default/dwbb259ca6/productimages/singlepackshot/792015_RGB.png"",""mode"":1}")</f>
        <v>{"url":"https://us.pandora.net/on/demandware.static/-/Sites-pandora-master-catalog/default/dwbb259ca6/productimages/singlepackshot/792015_RGB.png","mode":1}</v>
      </c>
      <c r="D3095" s="5" t="str">
        <f ca="1">IFERROR(ROWSDUMMYFUNCTION(IF(A3095="","",CONCATENATE("https://us.pandora.net/on/demandware.static/-/Sites-pandora-master-catalog/default/dwbb259ca6/productimages/singlepackshot/",LEFT(A3095,FIND("-",A3095&amp;"-")-1),"_RGB.png"))),"https://us.pandora.net/on/demandware.static/-/Sites-pandora-master-catalog/default/dwbb259ca6/productimages/singlepackshot/792015_RGB.png")</f>
        <v>https://us.pandora.net/on/demandware.static/-/Sites-pandora-master-catalog/default/dwbb259ca6/productimages/singlepackshot/792015_RGB.png</v>
      </c>
    </row>
    <row r="3096" spans="1:4" x14ac:dyDescent="0.25">
      <c r="A3096" s="3" t="s">
        <v>3098</v>
      </c>
      <c r="B3096" s="4">
        <v>49</v>
      </c>
      <c r="C3096" s="3" t="str">
        <f ca="1">IFERROR(ROWSDUMMYFUNCTION(IF(A3096="","",IFERROR(IMAGE(CONCATENATE("https://us.pandora.net/on/demandware.static/-/Sites-pandora-master-catalog/default/dwbb259ca6/productimages/singlepackshot/",LEFT(A3096,FIND("-",A3096&amp;"-")-1),"_RGB.png")),""))),"{""url"":""https://us.pandora.net/on/demandware.static/-/Sites-pandora-master-catalog/default/dwbb259ca6/productimages/singlepackshot/792015_E033_RGB.png"",""mode"":1}")</f>
        <v>{"url":"https://us.pandora.net/on/demandware.static/-/Sites-pandora-master-catalog/default/dwbb259ca6/productimages/singlepackshot/792015_E033_RGB.png","mode":1}</v>
      </c>
      <c r="D3096" s="5" t="str">
        <f ca="1">IFERROR(ROWSDUMMYFUNCTION(IF(A3096="","",CONCATENATE("https://us.pandora.net/on/demandware.static/-/Sites-pandora-master-catalog/default/dwbb259ca6/productimages/singlepackshot/",LEFT(A3096,FIND("-",A3096&amp;"-")-1),"_RGB.png"))),"https://us.pandora.net/on/demandware.static/-/Sites-pandora-master-catalog/default/dwbb259ca6/productimages/singlepackshot/792015_E033_RGB.png")</f>
        <v>https://us.pandora.net/on/demandware.static/-/Sites-pandora-master-catalog/default/dwbb259ca6/productimages/singlepackshot/792015_E033_RGB.png</v>
      </c>
    </row>
    <row r="3097" spans="1:4" x14ac:dyDescent="0.25">
      <c r="A3097" s="3" t="s">
        <v>3099</v>
      </c>
      <c r="B3097" s="4">
        <v>49</v>
      </c>
      <c r="C3097" s="3" t="str">
        <f ca="1">IFERROR(ROWSDUMMYFUNCTION(IF(A3097="","",IFERROR(IMAGE(CONCATENATE("https://us.pandora.net/on/demandware.static/-/Sites-pandora-master-catalog/default/dwbb259ca6/productimages/singlepackshot/",LEFT(A3097,FIND("-",A3097&amp;"-")-1),"_RGB.png")),""))),"{""url"":""https://us.pandora.net/on/demandware.static/-/Sites-pandora-master-catalog/default/dwbb259ca6/productimages/singlepackshot/792015_E040_RGB.png"",""mode"":1}")</f>
        <v>{"url":"https://us.pandora.net/on/demandware.static/-/Sites-pandora-master-catalog/default/dwbb259ca6/productimages/singlepackshot/792015_E040_RGB.png","mode":1}</v>
      </c>
      <c r="D3097" s="5" t="str">
        <f ca="1">IFERROR(ROWSDUMMYFUNCTION(IF(A3097="","",CONCATENATE("https://us.pandora.net/on/demandware.static/-/Sites-pandora-master-catalog/default/dwbb259ca6/productimages/singlepackshot/",LEFT(A3097,FIND("-",A3097&amp;"-")-1),"_RGB.png"))),"https://us.pandora.net/on/demandware.static/-/Sites-pandora-master-catalog/default/dwbb259ca6/productimages/singlepackshot/792015_E040_RGB.png")</f>
        <v>https://us.pandora.net/on/demandware.static/-/Sites-pandora-master-catalog/default/dwbb259ca6/productimages/singlepackshot/792015_E040_RGB.png</v>
      </c>
    </row>
    <row r="3098" spans="1:4" x14ac:dyDescent="0.25">
      <c r="A3098" s="3" t="s">
        <v>3100</v>
      </c>
      <c r="B3098" s="4">
        <v>49</v>
      </c>
      <c r="C3098" s="3" t="str">
        <f ca="1">IFERROR(ROWSDUMMYFUNCTION(IF(A3098="","",IFERROR(IMAGE(CONCATENATE("https://us.pandora.net/on/demandware.static/-/Sites-pandora-master-catalog/default/dwbb259ca6/productimages/singlepackshot/",LEFT(A3098,FIND("-",A3098&amp;"-")-1),"_RGB.png")),""))),"{""url"":""https://us.pandora.net/on/demandware.static/-/Sites-pandora-master-catalog/default/dwbb259ca6/productimages/singlepackshot/792015C00_E070_RGB.png"",""mode"":1}")</f>
        <v>{"url":"https://us.pandora.net/on/demandware.static/-/Sites-pandora-master-catalog/default/dwbb259ca6/productimages/singlepackshot/792015C00_E070_RGB.png","mode":1}</v>
      </c>
      <c r="D3098" s="5" t="str">
        <f ca="1">IFERROR(ROWSDUMMYFUNCTION(IF(A3098="","",CONCATENATE("https://us.pandora.net/on/demandware.static/-/Sites-pandora-master-catalog/default/dwbb259ca6/productimages/singlepackshot/",LEFT(A3098,FIND("-",A3098&amp;"-")-1),"_RGB.png"))),"https://us.pandora.net/on/demandware.static/-/Sites-pandora-master-catalog/default/dwbb259ca6/productimages/singlepackshot/792015C00_E070_RGB.png")</f>
        <v>https://us.pandora.net/on/demandware.static/-/Sites-pandora-master-catalog/default/dwbb259ca6/productimages/singlepackshot/792015C00_E070_RGB.png</v>
      </c>
    </row>
    <row r="3099" spans="1:4" x14ac:dyDescent="0.25">
      <c r="A3099" s="3" t="s">
        <v>3101</v>
      </c>
      <c r="B3099" s="4">
        <v>65</v>
      </c>
      <c r="C3099" s="3" t="str">
        <f ca="1">IFERROR(ROWSDUMMYFUNCTION(IF(A3099="","",IFERROR(IMAGE(CONCATENATE("https://us.pandora.net/on/demandware.static/-/Sites-pandora-master-catalog/default/dwbb259ca6/productimages/singlepackshot/",LEFT(A3099,FIND("-",A3099&amp;"-")-1),"_RGB.png")),""))),"{""url"":""https://us.pandora.net/on/demandware.static/-/Sites-pandora-master-catalog/default/dwbb259ca6/productimages/singlepackshot/792016CZ_E045_RGB.png"",""mode"":1}")</f>
        <v>{"url":"https://us.pandora.net/on/demandware.static/-/Sites-pandora-master-catalog/default/dwbb259ca6/productimages/singlepackshot/792016CZ_E045_RGB.png","mode":1}</v>
      </c>
      <c r="D3099" s="5" t="str">
        <f ca="1">IFERROR(ROWSDUMMYFUNCTION(IF(A3099="","",CONCATENATE("https://us.pandora.net/on/demandware.static/-/Sites-pandora-master-catalog/default/dwbb259ca6/productimages/singlepackshot/",LEFT(A3099,FIND("-",A3099&amp;"-")-1),"_RGB.png"))),"https://us.pandora.net/on/demandware.static/-/Sites-pandora-master-catalog/default/dwbb259ca6/productimages/singlepackshot/792016CZ_E045_RGB.png")</f>
        <v>https://us.pandora.net/on/demandware.static/-/Sites-pandora-master-catalog/default/dwbb259ca6/productimages/singlepackshot/792016CZ_E045_RGB.png</v>
      </c>
    </row>
    <row r="3100" spans="1:4" x14ac:dyDescent="0.25">
      <c r="A3100" s="3" t="s">
        <v>3102</v>
      </c>
      <c r="B3100" s="4">
        <v>59</v>
      </c>
      <c r="C3100" s="3" t="str">
        <f ca="1">IFERROR(ROWSDUMMYFUNCTION(IF(A3100="","",IFERROR(IMAGE(CONCATENATE("https://us.pandora.net/on/demandware.static/-/Sites-pandora-master-catalog/default/dwbb259ca6/productimages/singlepackshot/",LEFT(A3100,FIND("-",A3100&amp;"-")-1),"_RGB.png")),""))),"{""url"":""https://us.pandora.net/on/demandware.static/-/Sites-pandora-master-catalog/default/dwbb259ca6/productimages/singlepackshot/792017CZ_E019_RGB.png"",""mode"":1}")</f>
        <v>{"url":"https://us.pandora.net/on/demandware.static/-/Sites-pandora-master-catalog/default/dwbb259ca6/productimages/singlepackshot/792017CZ_E019_RGB.png","mode":1}</v>
      </c>
      <c r="D3100" s="5" t="str">
        <f ca="1">IFERROR(ROWSDUMMYFUNCTION(IF(A3100="","",CONCATENATE("https://us.pandora.net/on/demandware.static/-/Sites-pandora-master-catalog/default/dwbb259ca6/productimages/singlepackshot/",LEFT(A3100,FIND("-",A3100&amp;"-")-1),"_RGB.png"))),"https://us.pandora.net/on/demandware.static/-/Sites-pandora-master-catalog/default/dwbb259ca6/productimages/singlepackshot/792017CZ_E019_RGB.png")</f>
        <v>https://us.pandora.net/on/demandware.static/-/Sites-pandora-master-catalog/default/dwbb259ca6/productimages/singlepackshot/792017CZ_E019_RGB.png</v>
      </c>
    </row>
    <row r="3101" spans="1:4" x14ac:dyDescent="0.25">
      <c r="A3101" s="3" t="s">
        <v>3103</v>
      </c>
      <c r="B3101" s="4">
        <v>49</v>
      </c>
      <c r="C3101" s="3" t="str">
        <f ca="1">IFERROR(ROWSDUMMYFUNCTION(IF(A3101="","",IFERROR(IMAGE(CONCATENATE("https://us.pandora.net/on/demandware.static/-/Sites-pandora-master-catalog/default/dwbb259ca6/productimages/singlepackshot/",LEFT(A3101,FIND("-",A3101&amp;"-")-1),"_RGB.png")),""))),"{""url"":""https://us.pandora.net/on/demandware.static/-/Sites-pandora-master-catalog/default/dwbb259ca6/productimages/singlepackshot/792017CZ_E022_RGB.png"",""mode"":1}")</f>
        <v>{"url":"https://us.pandora.net/on/demandware.static/-/Sites-pandora-master-catalog/default/dwbb259ca6/productimages/singlepackshot/792017CZ_E022_RGB.png","mode":1}</v>
      </c>
      <c r="D3101" s="5" t="str">
        <f ca="1">IFERROR(ROWSDUMMYFUNCTION(IF(A3101="","",CONCATENATE("https://us.pandora.net/on/demandware.static/-/Sites-pandora-master-catalog/default/dwbb259ca6/productimages/singlepackshot/",LEFT(A3101,FIND("-",A3101&amp;"-")-1),"_RGB.png"))),"https://us.pandora.net/on/demandware.static/-/Sites-pandora-master-catalog/default/dwbb259ca6/productimages/singlepackshot/792017CZ_E022_RGB.png")</f>
        <v>https://us.pandora.net/on/demandware.static/-/Sites-pandora-master-catalog/default/dwbb259ca6/productimages/singlepackshot/792017CZ_E022_RGB.png</v>
      </c>
    </row>
    <row r="3102" spans="1:4" x14ac:dyDescent="0.25">
      <c r="A3102" s="3" t="s">
        <v>3104</v>
      </c>
      <c r="B3102" s="4">
        <v>49</v>
      </c>
      <c r="C3102" s="3" t="str">
        <f ca="1">IFERROR(ROWSDUMMYFUNCTION(IF(A3102="","",IFERROR(IMAGE(CONCATENATE("https://us.pandora.net/on/demandware.static/-/Sites-pandora-master-catalog/default/dwbb259ca6/productimages/singlepackshot/",LEFT(A3102,FIND("-",A3102&amp;"-")-1),"_RGB.png")),""))),"{""url"":""https://us.pandora.net/on/demandware.static/-/Sites-pandora-master-catalog/default/dwbb259ca6/productimages/singlepackshot/792018_E019_RGB.png"",""mode"":1}")</f>
        <v>{"url":"https://us.pandora.net/on/demandware.static/-/Sites-pandora-master-catalog/default/dwbb259ca6/productimages/singlepackshot/792018_E019_RGB.png","mode":1}</v>
      </c>
      <c r="D3102" s="5" t="str">
        <f ca="1">IFERROR(ROWSDUMMYFUNCTION(IF(A3102="","",CONCATENATE("https://us.pandora.net/on/demandware.static/-/Sites-pandora-master-catalog/default/dwbb259ca6/productimages/singlepackshot/",LEFT(A3102,FIND("-",A3102&amp;"-")-1),"_RGB.png"))),"https://us.pandora.net/on/demandware.static/-/Sites-pandora-master-catalog/default/dwbb259ca6/productimages/singlepackshot/792018_E019_RGB.png")</f>
        <v>https://us.pandora.net/on/demandware.static/-/Sites-pandora-master-catalog/default/dwbb259ca6/productimages/singlepackshot/792018_E019_RGB.png</v>
      </c>
    </row>
    <row r="3103" spans="1:4" x14ac:dyDescent="0.25">
      <c r="A3103" s="3" t="s">
        <v>3105</v>
      </c>
      <c r="B3103" s="4">
        <v>39</v>
      </c>
      <c r="C3103" s="3" t="str">
        <f ca="1">IFERROR(ROWSDUMMYFUNCTION(IF(A3103="","",IFERROR(IMAGE(CONCATENATE("https://us.pandora.net/on/demandware.static/-/Sites-pandora-master-catalog/default/dwbb259ca6/productimages/singlepackshot/",LEFT(A3103,FIND("-",A3103&amp;"-")-1),"_RGB.png")),""))),"{""url"":""https://us.pandora.net/on/demandware.static/-/Sites-pandora-master-catalog/default/dwbb259ca6/productimages/singlepackshot/792018C00_E027_RGB.png"",""mode"":1}")</f>
        <v>{"url":"https://us.pandora.net/on/demandware.static/-/Sites-pandora-master-catalog/default/dwbb259ca6/productimages/singlepackshot/792018C00_E027_RGB.png","mode":1}</v>
      </c>
      <c r="D3103" s="5" t="str">
        <f ca="1">IFERROR(ROWSDUMMYFUNCTION(IF(A3103="","",CONCATENATE("https://us.pandora.net/on/demandware.static/-/Sites-pandora-master-catalog/default/dwbb259ca6/productimages/singlepackshot/",LEFT(A3103,FIND("-",A3103&amp;"-")-1),"_RGB.png"))),"https://us.pandora.net/on/demandware.static/-/Sites-pandora-master-catalog/default/dwbb259ca6/productimages/singlepackshot/792018C00_E027_RGB.png")</f>
        <v>https://us.pandora.net/on/demandware.static/-/Sites-pandora-master-catalog/default/dwbb259ca6/productimages/singlepackshot/792018C00_E027_RGB.png</v>
      </c>
    </row>
    <row r="3104" spans="1:4" x14ac:dyDescent="0.25">
      <c r="A3104" s="3" t="s">
        <v>3106</v>
      </c>
      <c r="B3104" s="4">
        <v>69</v>
      </c>
      <c r="C3104" s="3" t="str">
        <f ca="1">IFERROR(ROWSDUMMYFUNCTION(IF(A3104="","",IFERROR(IMAGE(CONCATENATE("https://us.pandora.net/on/demandware.static/-/Sites-pandora-master-catalog/default/dwbb259ca6/productimages/singlepackshot/",LEFT(A3104,FIND("-",A3104&amp;"-")-1),"_RGB.png")),""))),"{""url"":""https://us.pandora.net/on/demandware.static/-/Sites-pandora-master-catalog/default/dwbb259ca6/productimages/singlepackshot/792030C01_RGB.png"",""mode"":1}")</f>
        <v>{"url":"https://us.pandora.net/on/demandware.static/-/Sites-pandora-master-catalog/default/dwbb259ca6/productimages/singlepackshot/792030C01_RGB.png","mode":1}</v>
      </c>
      <c r="D3104" s="5" t="str">
        <f ca="1">IFERROR(ROWSDUMMYFUNCTION(IF(A3104="","",CONCATENATE("https://us.pandora.net/on/demandware.static/-/Sites-pandora-master-catalog/default/dwbb259ca6/productimages/singlepackshot/",LEFT(A3104,FIND("-",A3104&amp;"-")-1),"_RGB.png"))),"https://us.pandora.net/on/demandware.static/-/Sites-pandora-master-catalog/default/dwbb259ca6/productimages/singlepackshot/792030C01_RGB.png")</f>
        <v>https://us.pandora.net/on/demandware.static/-/Sites-pandora-master-catalog/default/dwbb259ca6/productimages/singlepackshot/792030C01_RGB.png</v>
      </c>
    </row>
    <row r="3105" spans="1:4" x14ac:dyDescent="0.25">
      <c r="A3105" s="3" t="s">
        <v>3107</v>
      </c>
      <c r="B3105" s="4">
        <v>69</v>
      </c>
      <c r="C3105" s="3" t="str">
        <f ca="1">IFERROR(ROWSDUMMYFUNCTION(IF(A3105="","",IFERROR(IMAGE(CONCATENATE("https://us.pandora.net/on/demandware.static/-/Sites-pandora-master-catalog/default/dwbb259ca6/productimages/singlepackshot/",LEFT(A3105,FIND("-",A3105&amp;"-")-1),"_RGB.png")),""))),"{""url"":""https://us.pandora.net/on/demandware.static/-/Sites-pandora-master-catalog/default/dwbb259ca6/productimages/singlepackshot/792031C01_RGB.png"",""mode"":1}")</f>
        <v>{"url":"https://us.pandora.net/on/demandware.static/-/Sites-pandora-master-catalog/default/dwbb259ca6/productimages/singlepackshot/792031C01_RGB.png","mode":1}</v>
      </c>
      <c r="D3105" s="5" t="str">
        <f ca="1">IFERROR(ROWSDUMMYFUNCTION(IF(A3105="","",CONCATENATE("https://us.pandora.net/on/demandware.static/-/Sites-pandora-master-catalog/default/dwbb259ca6/productimages/singlepackshot/",LEFT(A3105,FIND("-",A3105&amp;"-")-1),"_RGB.png"))),"https://us.pandora.net/on/demandware.static/-/Sites-pandora-master-catalog/default/dwbb259ca6/productimages/singlepackshot/792031C01_RGB.png")</f>
        <v>https://us.pandora.net/on/demandware.static/-/Sites-pandora-master-catalog/default/dwbb259ca6/productimages/singlepackshot/792031C01_RGB.png</v>
      </c>
    </row>
    <row r="3106" spans="1:4" x14ac:dyDescent="0.25">
      <c r="A3106" s="3" t="s">
        <v>3108</v>
      </c>
      <c r="B3106" s="4">
        <v>99</v>
      </c>
      <c r="C3106" s="3" t="str">
        <f ca="1">IFERROR(ROWSDUMMYFUNCTION(IF(A3106="","",IFERROR(IMAGE(CONCATENATE("https://us.pandora.net/on/demandware.static/-/Sites-pandora-master-catalog/default/dwbb259ca6/productimages/singlepackshot/",LEFT(A3106,FIND("-",A3106&amp;"-")-1),"_RGB.png")),""))),"{""url"":""https://us.pandora.net/on/demandware.static/-/Sites-pandora-master-catalog/default/dwbb259ca6/productimages/singlepackshot/792057CZ_RGB.png"",""mode"":1}")</f>
        <v>{"url":"https://us.pandora.net/on/demandware.static/-/Sites-pandora-master-catalog/default/dwbb259ca6/productimages/singlepackshot/792057CZ_RGB.png","mode":1}</v>
      </c>
      <c r="D3106" s="5" t="str">
        <f ca="1">IFERROR(ROWSDUMMYFUNCTION(IF(A3106="","",CONCATENATE("https://us.pandora.net/on/demandware.static/-/Sites-pandora-master-catalog/default/dwbb259ca6/productimages/singlepackshot/",LEFT(A3106,FIND("-",A3106&amp;"-")-1),"_RGB.png"))),"https://us.pandora.net/on/demandware.static/-/Sites-pandora-master-catalog/default/dwbb259ca6/productimages/singlepackshot/792057CZ_RGB.png")</f>
        <v>https://us.pandora.net/on/demandware.static/-/Sites-pandora-master-catalog/default/dwbb259ca6/productimages/singlepackshot/792057CZ_RGB.png</v>
      </c>
    </row>
    <row r="3107" spans="1:4" x14ac:dyDescent="0.25">
      <c r="A3107" s="3" t="s">
        <v>3109</v>
      </c>
      <c r="B3107" s="4">
        <v>69</v>
      </c>
      <c r="C3107" s="3" t="str">
        <f ca="1">IFERROR(ROWSDUMMYFUNCTION(IF(A3107="","",IFERROR(IMAGE(CONCATENATE("https://us.pandora.net/on/demandware.static/-/Sites-pandora-master-catalog/default/dwbb259ca6/productimages/singlepackshot/",LEFT(A3107,FIND("-",A3107&amp;"-")-1),"_RGB.png")),""))),"{""url"":""https://us.pandora.net/on/demandware.static/-/Sites-pandora-master-catalog/default/dwbb259ca6/productimages/singlepackshot/792072EN40_RGB.png"",""mode"":1}")</f>
        <v>{"url":"https://us.pandora.net/on/demandware.static/-/Sites-pandora-master-catalog/default/dwbb259ca6/productimages/singlepackshot/792072EN40_RGB.png","mode":1}</v>
      </c>
      <c r="D3107" s="5" t="str">
        <f ca="1">IFERROR(ROWSDUMMYFUNCTION(IF(A3107="","",CONCATENATE("https://us.pandora.net/on/demandware.static/-/Sites-pandora-master-catalog/default/dwbb259ca6/productimages/singlepackshot/",LEFT(A3107,FIND("-",A3107&amp;"-")-1),"_RGB.png"))),"https://us.pandora.net/on/demandware.static/-/Sites-pandora-master-catalog/default/dwbb259ca6/productimages/singlepackshot/792072EN40_RGB.png")</f>
        <v>https://us.pandora.net/on/demandware.static/-/Sites-pandora-master-catalog/default/dwbb259ca6/productimages/singlepackshot/792072EN40_RGB.png</v>
      </c>
    </row>
    <row r="3108" spans="1:4" x14ac:dyDescent="0.25">
      <c r="A3108" s="3" t="s">
        <v>3110</v>
      </c>
      <c r="B3108" s="4">
        <v>59</v>
      </c>
      <c r="C3108" s="3" t="str">
        <f ca="1">IFERROR(ROWSDUMMYFUNCTION(IF(A3108="","",IFERROR(IMAGE(CONCATENATE("https://us.pandora.net/on/demandware.static/-/Sites-pandora-master-catalog/default/dwbb259ca6/productimages/singlepackshot/",LEFT(A3108,FIND("-",A3108&amp;"-")-1),"_RGB.png")),""))),"{""url"":""https://us.pandora.net/on/demandware.static/-/Sites-pandora-master-catalog/default/dwbb259ca6/productimages/singlepackshot/792089CZ_RGB.png"",""mode"":1}")</f>
        <v>{"url":"https://us.pandora.net/on/demandware.static/-/Sites-pandora-master-catalog/default/dwbb259ca6/productimages/singlepackshot/792089CZ_RGB.png","mode":1}</v>
      </c>
      <c r="D3108" s="5" t="str">
        <f ca="1">IFERROR(ROWSDUMMYFUNCTION(IF(A3108="","",CONCATENATE("https://us.pandora.net/on/demandware.static/-/Sites-pandora-master-catalog/default/dwbb259ca6/productimages/singlepackshot/",LEFT(A3108,FIND("-",A3108&amp;"-")-1),"_RGB.png"))),"https://us.pandora.net/on/demandware.static/-/Sites-pandora-master-catalog/default/dwbb259ca6/productimages/singlepackshot/792089CZ_RGB.png")</f>
        <v>https://us.pandora.net/on/demandware.static/-/Sites-pandora-master-catalog/default/dwbb259ca6/productimages/singlepackshot/792089CZ_RGB.png</v>
      </c>
    </row>
    <row r="3109" spans="1:4" x14ac:dyDescent="0.25">
      <c r="A3109" s="3" t="s">
        <v>3111</v>
      </c>
      <c r="B3109" s="4">
        <v>49</v>
      </c>
      <c r="C3109" s="3" t="str">
        <f ca="1">IFERROR(ROWSDUMMYFUNCTION(IF(A3109="","",IFERROR(IMAGE(CONCATENATE("https://us.pandora.net/on/demandware.static/-/Sites-pandora-master-catalog/default/dwbb259ca6/productimages/singlepackshot/",LEFT(A3109,FIND("-",A3109&amp;"-")-1),"_RGB.png")),""))),"{""url"":""https://us.pandora.net/on/demandware.static/-/Sites-pandora-master-catalog/default/dwbb259ca6/productimages/singlepackshot/792100CZ_RGB.png"",""mode"":1}")</f>
        <v>{"url":"https://us.pandora.net/on/demandware.static/-/Sites-pandora-master-catalog/default/dwbb259ca6/productimages/singlepackshot/792100CZ_RGB.png","mode":1}</v>
      </c>
      <c r="D3109" s="5" t="str">
        <f ca="1">IFERROR(ROWSDUMMYFUNCTION(IF(A3109="","",CONCATENATE("https://us.pandora.net/on/demandware.static/-/Sites-pandora-master-catalog/default/dwbb259ca6/productimages/singlepackshot/",LEFT(A3109,FIND("-",A3109&amp;"-")-1),"_RGB.png"))),"https://us.pandora.net/on/demandware.static/-/Sites-pandora-master-catalog/default/dwbb259ca6/productimages/singlepackshot/792100CZ_RGB.png")</f>
        <v>https://us.pandora.net/on/demandware.static/-/Sites-pandora-master-catalog/default/dwbb259ca6/productimages/singlepackshot/792100CZ_RGB.png</v>
      </c>
    </row>
    <row r="3110" spans="1:4" x14ac:dyDescent="0.25">
      <c r="A3110" s="3" t="s">
        <v>3112</v>
      </c>
      <c r="B3110" s="4">
        <v>55</v>
      </c>
      <c r="C3110" s="3" t="str">
        <f ca="1">IFERROR(ROWSDUMMYFUNCTION(IF(A3110="","",IFERROR(IMAGE(CONCATENATE("https://us.pandora.net/on/demandware.static/-/Sites-pandora-master-catalog/default/dwbb259ca6/productimages/singlepackshot/",LEFT(A3110,FIND("-",A3110&amp;"-")-1),"_RGB.png")),""))),"{""url"":""https://us.pandora.net/on/demandware.static/-/Sites-pandora-master-catalog/default/dwbb259ca6/productimages/singlepackshot/792152CZ_RGB.png"",""mode"":1}")</f>
        <v>{"url":"https://us.pandora.net/on/demandware.static/-/Sites-pandora-master-catalog/default/dwbb259ca6/productimages/singlepackshot/792152CZ_RGB.png","mode":1}</v>
      </c>
      <c r="D3110" s="5" t="str">
        <f ca="1">IFERROR(ROWSDUMMYFUNCTION(IF(A3110="","",CONCATENATE("https://us.pandora.net/on/demandware.static/-/Sites-pandora-master-catalog/default/dwbb259ca6/productimages/singlepackshot/",LEFT(A3110,FIND("-",A3110&amp;"-")-1),"_RGB.png"))),"https://us.pandora.net/on/demandware.static/-/Sites-pandora-master-catalog/default/dwbb259ca6/productimages/singlepackshot/792152CZ_RGB.png")</f>
        <v>https://us.pandora.net/on/demandware.static/-/Sites-pandora-master-catalog/default/dwbb259ca6/productimages/singlepackshot/792152CZ_RGB.png</v>
      </c>
    </row>
    <row r="3111" spans="1:4" x14ac:dyDescent="0.25">
      <c r="A3111" s="3" t="s">
        <v>3113</v>
      </c>
      <c r="B3111" s="4">
        <v>39</v>
      </c>
      <c r="C3111" s="3" t="str">
        <f ca="1">IFERROR(ROWSDUMMYFUNCTION(IF(A3111="","",IFERROR(IMAGE(CONCATENATE("https://us.pandora.net/on/demandware.static/-/Sites-pandora-master-catalog/default/dwbb259ca6/productimages/singlepackshot/",LEFT(A3111,FIND("-",A3111&amp;"-")-1),"_RGB.png")),""))),"{""url"":""https://us.pandora.net/on/demandware.static/-/Sites-pandora-master-catalog/default/dwbb259ca6/productimages/singlepackshot/792197C01_RGB.png"",""mode"":1}")</f>
        <v>{"url":"https://us.pandora.net/on/demandware.static/-/Sites-pandora-master-catalog/default/dwbb259ca6/productimages/singlepackshot/792197C01_RGB.png","mode":1}</v>
      </c>
      <c r="D3111" s="5" t="str">
        <f ca="1">IFERROR(ROWSDUMMYFUNCTION(IF(A3111="","",CONCATENATE("https://us.pandora.net/on/demandware.static/-/Sites-pandora-master-catalog/default/dwbb259ca6/productimages/singlepackshot/",LEFT(A3111,FIND("-",A3111&amp;"-")-1),"_RGB.png"))),"https://us.pandora.net/on/demandware.static/-/Sites-pandora-master-catalog/default/dwbb259ca6/productimages/singlepackshot/792197C01_RGB.png")</f>
        <v>https://us.pandora.net/on/demandware.static/-/Sites-pandora-master-catalog/default/dwbb259ca6/productimages/singlepackshot/792197C01_RGB.png</v>
      </c>
    </row>
    <row r="3112" spans="1:4" x14ac:dyDescent="0.25">
      <c r="A3112" s="3" t="s">
        <v>3114</v>
      </c>
      <c r="B3112" s="4">
        <v>55</v>
      </c>
      <c r="C3112" s="3" t="str">
        <f ca="1">IFERROR(ROWSDUMMYFUNCTION(IF(A3112="","",IFERROR(IMAGE(CONCATENATE("https://us.pandora.net/on/demandware.static/-/Sites-pandora-master-catalog/default/dwbb259ca6/productimages/singlepackshot/",LEFT(A3112,FIND("-",A3112&amp;"-")-1),"_RGB.png")),""))),"{""url"":""https://us.pandora.net/on/demandware.static/-/Sites-pandora-master-catalog/default/dwbb259ca6/productimages/singlepackshot/792201C01_RGB.png"",""mode"":1}")</f>
        <v>{"url":"https://us.pandora.net/on/demandware.static/-/Sites-pandora-master-catalog/default/dwbb259ca6/productimages/singlepackshot/792201C01_RGB.png","mode":1}</v>
      </c>
      <c r="D3112" s="5" t="str">
        <f ca="1">IFERROR(ROWSDUMMYFUNCTION(IF(A3112="","",CONCATENATE("https://us.pandora.net/on/demandware.static/-/Sites-pandora-master-catalog/default/dwbb259ca6/productimages/singlepackshot/",LEFT(A3112,FIND("-",A3112&amp;"-")-1),"_RGB.png"))),"https://us.pandora.net/on/demandware.static/-/Sites-pandora-master-catalog/default/dwbb259ca6/productimages/singlepackshot/792201C01_RGB.png")</f>
        <v>https://us.pandora.net/on/demandware.static/-/Sites-pandora-master-catalog/default/dwbb259ca6/productimages/singlepackshot/792201C01_RGB.png</v>
      </c>
    </row>
    <row r="3113" spans="1:4" x14ac:dyDescent="0.25">
      <c r="A3113" s="3" t="s">
        <v>3115</v>
      </c>
      <c r="B3113" s="4">
        <v>59</v>
      </c>
      <c r="C3113" s="3" t="str">
        <f ca="1">IFERROR(ROWSDUMMYFUNCTION(IF(A3113="","",IFERROR(IMAGE(CONCATENATE("https://us.pandora.net/on/demandware.static/-/Sites-pandora-master-catalog/default/dwbb259ca6/productimages/singlepackshot/",LEFT(A3113,FIND("-",A3113&amp;"-")-1),"_RGB.png")),""))),"{""url"":""https://us.pandora.net/on/demandware.static/-/Sites-pandora-master-catalog/default/dwbb259ca6/productimages/singlepackshot/792209C01_RGB.png"",""mode"":1}")</f>
        <v>{"url":"https://us.pandora.net/on/demandware.static/-/Sites-pandora-master-catalog/default/dwbb259ca6/productimages/singlepackshot/792209C01_RGB.png","mode":1}</v>
      </c>
      <c r="D3113" s="5" t="str">
        <f ca="1">IFERROR(ROWSDUMMYFUNCTION(IF(A3113="","",CONCATENATE("https://us.pandora.net/on/demandware.static/-/Sites-pandora-master-catalog/default/dwbb259ca6/productimages/singlepackshot/",LEFT(A3113,FIND("-",A3113&amp;"-")-1),"_RGB.png"))),"https://us.pandora.net/on/demandware.static/-/Sites-pandora-master-catalog/default/dwbb259ca6/productimages/singlepackshot/792209C01_RGB.png")</f>
        <v>https://us.pandora.net/on/demandware.static/-/Sites-pandora-master-catalog/default/dwbb259ca6/productimages/singlepackshot/792209C01_RGB.png</v>
      </c>
    </row>
    <row r="3114" spans="1:4" x14ac:dyDescent="0.25">
      <c r="A3114" s="3" t="s">
        <v>3116</v>
      </c>
      <c r="B3114" s="4">
        <v>69</v>
      </c>
      <c r="C3114" s="3" t="str">
        <f ca="1">IFERROR(ROWSDUMMYFUNCTION(IF(A3114="","",IFERROR(IMAGE(CONCATENATE("https://us.pandora.net/on/demandware.static/-/Sites-pandora-master-catalog/default/dwbb259ca6/productimages/singlepackshot/",LEFT(A3114,FIND("-",A3114&amp;"-")-1),"_RGB.png")),""))),"{""url"":""https://us.pandora.net/on/demandware.static/-/Sites-pandora-master-catalog/default/dwbb259ca6/productimages/singlepackshot/792213C01_RGB.png"",""mode"":1}")</f>
        <v>{"url":"https://us.pandora.net/on/demandware.static/-/Sites-pandora-master-catalog/default/dwbb259ca6/productimages/singlepackshot/792213C01_RGB.png","mode":1}</v>
      </c>
      <c r="D3114" s="5" t="str">
        <f ca="1">IFERROR(ROWSDUMMYFUNCTION(IF(A3114="","",CONCATENATE("https://us.pandora.net/on/demandware.static/-/Sites-pandora-master-catalog/default/dwbb259ca6/productimages/singlepackshot/",LEFT(A3114,FIND("-",A3114&amp;"-")-1),"_RGB.png"))),"https://us.pandora.net/on/demandware.static/-/Sites-pandora-master-catalog/default/dwbb259ca6/productimages/singlepackshot/792213C01_RGB.png")</f>
        <v>https://us.pandora.net/on/demandware.static/-/Sites-pandora-master-catalog/default/dwbb259ca6/productimages/singlepackshot/792213C01_RGB.png</v>
      </c>
    </row>
    <row r="3115" spans="1:4" x14ac:dyDescent="0.25">
      <c r="A3115" s="3" t="s">
        <v>3117</v>
      </c>
      <c r="B3115" s="4">
        <v>79</v>
      </c>
      <c r="C3115" s="3" t="str">
        <f ca="1">IFERROR(ROWSDUMMYFUNCTION(IF(A3115="","",IFERROR(IMAGE(CONCATENATE("https://us.pandora.net/on/demandware.static/-/Sites-pandora-master-catalog/default/dwbb259ca6/productimages/singlepackshot/",LEFT(A3115,FIND("-",A3115&amp;"-")-1),"_RGB.png")),""))),"{""url"":""https://us.pandora.net/on/demandware.static/-/Sites-pandora-master-catalog/default/dwbb259ca6/productimages/singlepackshot/792214C01_RGB.png"",""mode"":1}")</f>
        <v>{"url":"https://us.pandora.net/on/demandware.static/-/Sites-pandora-master-catalog/default/dwbb259ca6/productimages/singlepackshot/792214C01_RGB.png","mode":1}</v>
      </c>
      <c r="D3115" s="5" t="str">
        <f ca="1">IFERROR(ROWSDUMMYFUNCTION(IF(A3115="","",CONCATENATE("https://us.pandora.net/on/demandware.static/-/Sites-pandora-master-catalog/default/dwbb259ca6/productimages/singlepackshot/",LEFT(A3115,FIND("-",A3115&amp;"-")-1),"_RGB.png"))),"https://us.pandora.net/on/demandware.static/-/Sites-pandora-master-catalog/default/dwbb259ca6/productimages/singlepackshot/792214C01_RGB.png")</f>
        <v>https://us.pandora.net/on/demandware.static/-/Sites-pandora-master-catalog/default/dwbb259ca6/productimages/singlepackshot/792214C01_RGB.png</v>
      </c>
    </row>
    <row r="3116" spans="1:4" x14ac:dyDescent="0.25">
      <c r="A3116" s="3" t="s">
        <v>3118</v>
      </c>
      <c r="B3116" s="4">
        <v>55</v>
      </c>
      <c r="C3116" s="3" t="str">
        <f ca="1">IFERROR(ROWSDUMMYFUNCTION(IF(A3116="","",IFERROR(IMAGE(CONCATENATE("https://us.pandora.net/on/demandware.static/-/Sites-pandora-master-catalog/default/dwbb259ca6/productimages/singlepackshot/",LEFT(A3116,FIND("-",A3116&amp;"-")-1),"_RGB.png")),""))),"{""url"":""https://us.pandora.net/on/demandware.static/-/Sites-pandora-master-catalog/default/dwbb259ca6/productimages/singlepackshot/792235C01_RGB.png"",""mode"":1}")</f>
        <v>{"url":"https://us.pandora.net/on/demandware.static/-/Sites-pandora-master-catalog/default/dwbb259ca6/productimages/singlepackshot/792235C01_RGB.png","mode":1}</v>
      </c>
      <c r="D3116" s="5" t="str">
        <f ca="1">IFERROR(ROWSDUMMYFUNCTION(IF(A3116="","",CONCATENATE("https://us.pandora.net/on/demandware.static/-/Sites-pandora-master-catalog/default/dwbb259ca6/productimages/singlepackshot/",LEFT(A3116,FIND("-",A3116&amp;"-")-1),"_RGB.png"))),"https://us.pandora.net/on/demandware.static/-/Sites-pandora-master-catalog/default/dwbb259ca6/productimages/singlepackshot/792235C01_RGB.png")</f>
        <v>https://us.pandora.net/on/demandware.static/-/Sites-pandora-master-catalog/default/dwbb259ca6/productimages/singlepackshot/792235C01_RGB.png</v>
      </c>
    </row>
    <row r="3117" spans="1:4" x14ac:dyDescent="0.25">
      <c r="A3117" s="3" t="s">
        <v>3119</v>
      </c>
      <c r="B3117" s="4">
        <v>69</v>
      </c>
      <c r="C3117" s="3" t="str">
        <f ca="1">IFERROR(ROWSDUMMYFUNCTION(IF(A3117="","",IFERROR(IMAGE(CONCATENATE("https://us.pandora.net/on/demandware.static/-/Sites-pandora-master-catalog/default/dwbb259ca6/productimages/singlepackshot/",LEFT(A3117,FIND("-",A3117&amp;"-")-1),"_RGB.png")),""))),"{""url"":""https://us.pandora.net/on/demandware.static/-/Sites-pandora-master-catalog/default/dwbb259ca6/productimages/singlepackshot/792239C01_RGB.png"",""mode"":1}")</f>
        <v>{"url":"https://us.pandora.net/on/demandware.static/-/Sites-pandora-master-catalog/default/dwbb259ca6/productimages/singlepackshot/792239C01_RGB.png","mode":1}</v>
      </c>
      <c r="D3117" s="5" t="str">
        <f ca="1">IFERROR(ROWSDUMMYFUNCTION(IF(A3117="","",CONCATENATE("https://us.pandora.net/on/demandware.static/-/Sites-pandora-master-catalog/default/dwbb259ca6/productimages/singlepackshot/",LEFT(A3117,FIND("-",A3117&amp;"-")-1),"_RGB.png"))),"https://us.pandora.net/on/demandware.static/-/Sites-pandora-master-catalog/default/dwbb259ca6/productimages/singlepackshot/792239C01_RGB.png")</f>
        <v>https://us.pandora.net/on/demandware.static/-/Sites-pandora-master-catalog/default/dwbb259ca6/productimages/singlepackshot/792239C01_RGB.png</v>
      </c>
    </row>
    <row r="3118" spans="1:4" x14ac:dyDescent="0.25">
      <c r="A3118" s="3" t="s">
        <v>3120</v>
      </c>
      <c r="B3118" s="4">
        <v>55</v>
      </c>
      <c r="C3118" s="3" t="str">
        <f ca="1">IFERROR(ROWSDUMMYFUNCTION(IF(A3118="","",IFERROR(IMAGE(CONCATENATE("https://us.pandora.net/on/demandware.static/-/Sites-pandora-master-catalog/default/dwbb259ca6/productimages/singlepackshot/",LEFT(A3118,FIND("-",A3118&amp;"-")-1),"_RGB.png")),""))),"{""url"":""https://us.pandora.net/on/demandware.static/-/Sites-pandora-master-catalog/default/dwbb259ca6/productimages/singlepackshot/792245C01_RGB.png"",""mode"":1}")</f>
        <v>{"url":"https://us.pandora.net/on/demandware.static/-/Sites-pandora-master-catalog/default/dwbb259ca6/productimages/singlepackshot/792245C01_RGB.png","mode":1}</v>
      </c>
      <c r="D3118" s="5" t="str">
        <f ca="1">IFERROR(ROWSDUMMYFUNCTION(IF(A3118="","",CONCATENATE("https://us.pandora.net/on/demandware.static/-/Sites-pandora-master-catalog/default/dwbb259ca6/productimages/singlepackshot/",LEFT(A3118,FIND("-",A3118&amp;"-")-1),"_RGB.png"))),"https://us.pandora.net/on/demandware.static/-/Sites-pandora-master-catalog/default/dwbb259ca6/productimages/singlepackshot/792245C01_RGB.png")</f>
        <v>https://us.pandora.net/on/demandware.static/-/Sites-pandora-master-catalog/default/dwbb259ca6/productimages/singlepackshot/792245C01_RGB.png</v>
      </c>
    </row>
    <row r="3119" spans="1:4" x14ac:dyDescent="0.25">
      <c r="A3119" s="3" t="s">
        <v>3121</v>
      </c>
      <c r="B3119" s="4">
        <v>55</v>
      </c>
      <c r="C3119" s="3" t="str">
        <f ca="1">IFERROR(ROWSDUMMYFUNCTION(IF(A3119="","",IFERROR(IMAGE(CONCATENATE("https://us.pandora.net/on/demandware.static/-/Sites-pandora-master-catalog/default/dwbb259ca6/productimages/singlepackshot/",LEFT(A3119,FIND("-",A3119&amp;"-")-1),"_RGB.png")),""))),"{""url"":""https://us.pandora.net/on/demandware.static/-/Sites-pandora-master-catalog/default/dwbb259ca6/productimages/singlepackshot/792247C01_RGB.png"",""mode"":1}")</f>
        <v>{"url":"https://us.pandora.net/on/demandware.static/-/Sites-pandora-master-catalog/default/dwbb259ca6/productimages/singlepackshot/792247C01_RGB.png","mode":1}</v>
      </c>
      <c r="D3119" s="5" t="str">
        <f ca="1">IFERROR(ROWSDUMMYFUNCTION(IF(A3119="","",CONCATENATE("https://us.pandora.net/on/demandware.static/-/Sites-pandora-master-catalog/default/dwbb259ca6/productimages/singlepackshot/",LEFT(A3119,FIND("-",A3119&amp;"-")-1),"_RGB.png"))),"https://us.pandora.net/on/demandware.static/-/Sites-pandora-master-catalog/default/dwbb259ca6/productimages/singlepackshot/792247C01_RGB.png")</f>
        <v>https://us.pandora.net/on/demandware.static/-/Sites-pandora-master-catalog/default/dwbb259ca6/productimages/singlepackshot/792247C01_RGB.png</v>
      </c>
    </row>
    <row r="3120" spans="1:4" x14ac:dyDescent="0.25">
      <c r="A3120" s="3" t="s">
        <v>3122</v>
      </c>
      <c r="B3120" s="4">
        <v>45</v>
      </c>
      <c r="C3120" s="3" t="str">
        <f ca="1">IFERROR(ROWSDUMMYFUNCTION(IF(A3120="","",IFERROR(IMAGE(CONCATENATE("https://us.pandora.net/on/demandware.static/-/Sites-pandora-master-catalog/default/dwbb259ca6/productimages/singlepackshot/",LEFT(A3120,FIND("-",A3120&amp;"-")-1),"_RGB.png")),""))),"{""url"":""https://us.pandora.net/on/demandware.static/-/Sites-pandora-master-catalog/default/dwbb259ca6/productimages/singlepackshot/792254C01_RGB.png"",""mode"":1}")</f>
        <v>{"url":"https://us.pandora.net/on/demandware.static/-/Sites-pandora-master-catalog/default/dwbb259ca6/productimages/singlepackshot/792254C01_RGB.png","mode":1}</v>
      </c>
      <c r="D3120" s="5" t="str">
        <f ca="1">IFERROR(ROWSDUMMYFUNCTION(IF(A3120="","",CONCATENATE("https://us.pandora.net/on/demandware.static/-/Sites-pandora-master-catalog/default/dwbb259ca6/productimages/singlepackshot/",LEFT(A3120,FIND("-",A3120&amp;"-")-1),"_RGB.png"))),"https://us.pandora.net/on/demandware.static/-/Sites-pandora-master-catalog/default/dwbb259ca6/productimages/singlepackshot/792254C01_RGB.png")</f>
        <v>https://us.pandora.net/on/demandware.static/-/Sites-pandora-master-catalog/default/dwbb259ca6/productimages/singlepackshot/792254C01_RGB.png</v>
      </c>
    </row>
    <row r="3121" spans="1:4" x14ac:dyDescent="0.25">
      <c r="A3121" s="3" t="s">
        <v>3123</v>
      </c>
      <c r="B3121" s="4">
        <v>45</v>
      </c>
      <c r="C3121" s="3" t="str">
        <f ca="1">IFERROR(ROWSDUMMYFUNCTION(IF(A3121="","",IFERROR(IMAGE(CONCATENATE("https://us.pandora.net/on/demandware.static/-/Sites-pandora-master-catalog/default/dwbb259ca6/productimages/singlepackshot/",LEFT(A3121,FIND("-",A3121&amp;"-")-1),"_RGB.png")),""))),"{""url"":""https://us.pandora.net/on/demandware.static/-/Sites-pandora-master-catalog/default/dwbb259ca6/productimages/singlepackshot/792255C01_RGB.png"",""mode"":1}")</f>
        <v>{"url":"https://us.pandora.net/on/demandware.static/-/Sites-pandora-master-catalog/default/dwbb259ca6/productimages/singlepackshot/792255C01_RGB.png","mode":1}</v>
      </c>
      <c r="D3121" s="5" t="str">
        <f ca="1">IFERROR(ROWSDUMMYFUNCTION(IF(A3121="","",CONCATENATE("https://us.pandora.net/on/demandware.static/-/Sites-pandora-master-catalog/default/dwbb259ca6/productimages/singlepackshot/",LEFT(A3121,FIND("-",A3121&amp;"-")-1),"_RGB.png"))),"https://us.pandora.net/on/demandware.static/-/Sites-pandora-master-catalog/default/dwbb259ca6/productimages/singlepackshot/792255C01_RGB.png")</f>
        <v>https://us.pandora.net/on/demandware.static/-/Sites-pandora-master-catalog/default/dwbb259ca6/productimages/singlepackshot/792255C01_RGB.png</v>
      </c>
    </row>
    <row r="3122" spans="1:4" x14ac:dyDescent="0.25">
      <c r="A3122" s="3" t="s">
        <v>3124</v>
      </c>
      <c r="B3122" s="4">
        <v>39</v>
      </c>
      <c r="C3122" s="3" t="str">
        <f ca="1">IFERROR(ROWSDUMMYFUNCTION(IF(A3122="","",IFERROR(IMAGE(CONCATENATE("https://us.pandora.net/on/demandware.static/-/Sites-pandora-master-catalog/default/dwbb259ca6/productimages/singlepackshot/",LEFT(A3122,FIND("-",A3122&amp;"-")-1),"_RGB.png")),""))),"{""url"":""https://us.pandora.net/on/demandware.static/-/Sites-pandora-master-catalog/default/dwbb259ca6/productimages/singlepackshot/792274C00_RGB.png"",""mode"":1}")</f>
        <v>{"url":"https://us.pandora.net/on/demandware.static/-/Sites-pandora-master-catalog/default/dwbb259ca6/productimages/singlepackshot/792274C00_RGB.png","mode":1}</v>
      </c>
      <c r="D3122" s="5" t="str">
        <f ca="1">IFERROR(ROWSDUMMYFUNCTION(IF(A3122="","",CONCATENATE("https://us.pandora.net/on/demandware.static/-/Sites-pandora-master-catalog/default/dwbb259ca6/productimages/singlepackshot/",LEFT(A3122,FIND("-",A3122&amp;"-")-1),"_RGB.png"))),"https://us.pandora.net/on/demandware.static/-/Sites-pandora-master-catalog/default/dwbb259ca6/productimages/singlepackshot/792274C00_RGB.png")</f>
        <v>https://us.pandora.net/on/demandware.static/-/Sites-pandora-master-catalog/default/dwbb259ca6/productimages/singlepackshot/792274C00_RGB.png</v>
      </c>
    </row>
    <row r="3123" spans="1:4" x14ac:dyDescent="0.25">
      <c r="A3123" s="3" t="s">
        <v>3125</v>
      </c>
      <c r="B3123" s="4">
        <v>59</v>
      </c>
      <c r="C3123" s="3" t="str">
        <f ca="1">IFERROR(ROWSDUMMYFUNCTION(IF(A3123="","",IFERROR(IMAGE(CONCATENATE("https://us.pandora.net/on/demandware.static/-/Sites-pandora-master-catalog/default/dwbb259ca6/productimages/singlepackshot/",LEFT(A3123,FIND("-",A3123&amp;"-")-1),"_RGB.png")),""))),"{""url"":""https://us.pandora.net/on/demandware.static/-/Sites-pandora-master-catalog/default/dwbb259ca6/productimages/singlepackshot/792291C01_RGB.png"",""mode"":1}")</f>
        <v>{"url":"https://us.pandora.net/on/demandware.static/-/Sites-pandora-master-catalog/default/dwbb259ca6/productimages/singlepackshot/792291C01_RGB.png","mode":1}</v>
      </c>
      <c r="D3123" s="5" t="str">
        <f ca="1">IFERROR(ROWSDUMMYFUNCTION(IF(A3123="","",CONCATENATE("https://us.pandora.net/on/demandware.static/-/Sites-pandora-master-catalog/default/dwbb259ca6/productimages/singlepackshot/",LEFT(A3123,FIND("-",A3123&amp;"-")-1),"_RGB.png"))),"https://us.pandora.net/on/demandware.static/-/Sites-pandora-master-catalog/default/dwbb259ca6/productimages/singlepackshot/792291C01_RGB.png")</f>
        <v>https://us.pandora.net/on/demandware.static/-/Sites-pandora-master-catalog/default/dwbb259ca6/productimages/singlepackshot/792291C01_RGB.png</v>
      </c>
    </row>
    <row r="3124" spans="1:4" x14ac:dyDescent="0.25">
      <c r="A3124" s="3" t="s">
        <v>3126</v>
      </c>
      <c r="B3124" s="4">
        <v>69</v>
      </c>
      <c r="C3124" s="3" t="str">
        <f ca="1">IFERROR(ROWSDUMMYFUNCTION(IF(A3124="","",IFERROR(IMAGE(CONCATENATE("https://us.pandora.net/on/demandware.static/-/Sites-pandora-master-catalog/default/dwbb259ca6/productimages/singlepackshot/",LEFT(A3124,FIND("-",A3124&amp;"-")-1),"_RGB.png")),""))),"{""url"":""https://us.pandora.net/on/demandware.static/-/Sites-pandora-master-catalog/default/dwbb259ca6/productimages/singlepackshot/792292C01_RGB.png"",""mode"":1}")</f>
        <v>{"url":"https://us.pandora.net/on/demandware.static/-/Sites-pandora-master-catalog/default/dwbb259ca6/productimages/singlepackshot/792292C01_RGB.png","mode":1}</v>
      </c>
      <c r="D3124" s="5" t="str">
        <f ca="1">IFERROR(ROWSDUMMYFUNCTION(IF(A3124="","",CONCATENATE("https://us.pandora.net/on/demandware.static/-/Sites-pandora-master-catalog/default/dwbb259ca6/productimages/singlepackshot/",LEFT(A3124,FIND("-",A3124&amp;"-")-1),"_RGB.png"))),"https://us.pandora.net/on/demandware.static/-/Sites-pandora-master-catalog/default/dwbb259ca6/productimages/singlepackshot/792292C01_RGB.png")</f>
        <v>https://us.pandora.net/on/demandware.static/-/Sites-pandora-master-catalog/default/dwbb259ca6/productimages/singlepackshot/792292C01_RGB.png</v>
      </c>
    </row>
    <row r="3125" spans="1:4" x14ac:dyDescent="0.25">
      <c r="A3125" s="3" t="s">
        <v>3127</v>
      </c>
      <c r="B3125" s="4">
        <v>69</v>
      </c>
      <c r="C3125" s="3" t="str">
        <f ca="1">IFERROR(ROWSDUMMYFUNCTION(IF(A3125="","",IFERROR(IMAGE(CONCATENATE("https://us.pandora.net/on/demandware.static/-/Sites-pandora-master-catalog/default/dwbb259ca6/productimages/singlepackshot/",LEFT(A3125,FIND("-",A3125&amp;"-")-1),"_RGB.png")),""))),"{""url"":""https://us.pandora.net/on/demandware.static/-/Sites-pandora-master-catalog/default/dwbb259ca6/productimages/singlepackshot/792323C01_RGB.png"",""mode"":1}")</f>
        <v>{"url":"https://us.pandora.net/on/demandware.static/-/Sites-pandora-master-catalog/default/dwbb259ca6/productimages/singlepackshot/792323C01_RGB.png","mode":1}</v>
      </c>
      <c r="D3125" s="5" t="str">
        <f ca="1">IFERROR(ROWSDUMMYFUNCTION(IF(A3125="","",CONCATENATE("https://us.pandora.net/on/demandware.static/-/Sites-pandora-master-catalog/default/dwbb259ca6/productimages/singlepackshot/",LEFT(A3125,FIND("-",A3125&amp;"-")-1),"_RGB.png"))),"https://us.pandora.net/on/demandware.static/-/Sites-pandora-master-catalog/default/dwbb259ca6/productimages/singlepackshot/792323C01_RGB.png")</f>
        <v>https://us.pandora.net/on/demandware.static/-/Sites-pandora-master-catalog/default/dwbb259ca6/productimages/singlepackshot/792323C01_RGB.png</v>
      </c>
    </row>
    <row r="3126" spans="1:4" x14ac:dyDescent="0.25">
      <c r="A3126" s="3" t="s">
        <v>3128</v>
      </c>
      <c r="B3126" s="4">
        <v>49</v>
      </c>
      <c r="C3126" s="3" t="str">
        <f ca="1">IFERROR(ROWSDUMMYFUNCTION(IF(A3126="","",IFERROR(IMAGE(CONCATENATE("https://us.pandora.net/on/demandware.static/-/Sites-pandora-master-catalog/default/dwbb259ca6/productimages/singlepackshot/",LEFT(A3126,FIND("-",A3126&amp;"-")-1),"_RGB.png")),""))),"{""url"":""https://us.pandora.net/on/demandware.static/-/Sites-pandora-master-catalog/default/dwbb259ca6/productimages/singlepackshot/792336C01_RGB.png"",""mode"":1}")</f>
        <v>{"url":"https://us.pandora.net/on/demandware.static/-/Sites-pandora-master-catalog/default/dwbb259ca6/productimages/singlepackshot/792336C01_RGB.png","mode":1}</v>
      </c>
      <c r="D3126" s="5" t="str">
        <f ca="1">IFERROR(ROWSDUMMYFUNCTION(IF(A3126="","",CONCATENATE("https://us.pandora.net/on/demandware.static/-/Sites-pandora-master-catalog/default/dwbb259ca6/productimages/singlepackshot/",LEFT(A3126,FIND("-",A3126&amp;"-")-1),"_RGB.png"))),"https://us.pandora.net/on/demandware.static/-/Sites-pandora-master-catalog/default/dwbb259ca6/productimages/singlepackshot/792336C01_RGB.png")</f>
        <v>https://us.pandora.net/on/demandware.static/-/Sites-pandora-master-catalog/default/dwbb259ca6/productimages/singlepackshot/792336C01_RGB.png</v>
      </c>
    </row>
    <row r="3127" spans="1:4" x14ac:dyDescent="0.25">
      <c r="A3127" s="3" t="s">
        <v>3129</v>
      </c>
      <c r="B3127" s="4">
        <v>65</v>
      </c>
      <c r="C3127" s="3" t="str">
        <f ca="1">IFERROR(ROWSDUMMYFUNCTION(IF(A3127="","",IFERROR(IMAGE(CONCATENATE("https://us.pandora.net/on/demandware.static/-/Sites-pandora-master-catalog/default/dwbb259ca6/productimages/singlepackshot/",LEFT(A3127,FIND("-",A3127&amp;"-")-1),"_RGB.png")),""))),"{""url"":""https://us.pandora.net/on/demandware.static/-/Sites-pandora-master-catalog/default/dwbb259ca6/productimages/singlepackshot/792356C01_RGB.png"",""mode"":1}")</f>
        <v>{"url":"https://us.pandora.net/on/demandware.static/-/Sites-pandora-master-catalog/default/dwbb259ca6/productimages/singlepackshot/792356C01_RGB.png","mode":1}</v>
      </c>
      <c r="D3127" s="5" t="str">
        <f ca="1">IFERROR(ROWSDUMMYFUNCTION(IF(A3127="","",CONCATENATE("https://us.pandora.net/on/demandware.static/-/Sites-pandora-master-catalog/default/dwbb259ca6/productimages/singlepackshot/",LEFT(A3127,FIND("-",A3127&amp;"-")-1),"_RGB.png"))),"https://us.pandora.net/on/demandware.static/-/Sites-pandora-master-catalog/default/dwbb259ca6/productimages/singlepackshot/792356C01_RGB.png")</f>
        <v>https://us.pandora.net/on/demandware.static/-/Sites-pandora-master-catalog/default/dwbb259ca6/productimages/singlepackshot/792356C01_RGB.png</v>
      </c>
    </row>
    <row r="3128" spans="1:4" x14ac:dyDescent="0.25">
      <c r="A3128" s="3" t="s">
        <v>3130</v>
      </c>
      <c r="B3128" s="4">
        <v>49</v>
      </c>
      <c r="C3128" s="3" t="str">
        <f ca="1">IFERROR(ROWSDUMMYFUNCTION(IF(A3128="","",IFERROR(IMAGE(CONCATENATE("https://us.pandora.net/on/demandware.static/-/Sites-pandora-master-catalog/default/dwbb259ca6/productimages/singlepackshot/",LEFT(A3128,FIND("-",A3128&amp;"-")-1),"_RGB.png")),""))),"{""url"":""https://us.pandora.net/on/demandware.static/-/Sites-pandora-master-catalog/default/dwbb259ca6/productimages/singlepackshot/792358C01_RGB.png"",""mode"":1}")</f>
        <v>{"url":"https://us.pandora.net/on/demandware.static/-/Sites-pandora-master-catalog/default/dwbb259ca6/productimages/singlepackshot/792358C01_RGB.png","mode":1}</v>
      </c>
      <c r="D3128" s="5" t="str">
        <f ca="1">IFERROR(ROWSDUMMYFUNCTION(IF(A3128="","",CONCATENATE("https://us.pandora.net/on/demandware.static/-/Sites-pandora-master-catalog/default/dwbb259ca6/productimages/singlepackshot/",LEFT(A3128,FIND("-",A3128&amp;"-")-1),"_RGB.png"))),"https://us.pandora.net/on/demandware.static/-/Sites-pandora-master-catalog/default/dwbb259ca6/productimages/singlepackshot/792358C01_RGB.png")</f>
        <v>https://us.pandora.net/on/demandware.static/-/Sites-pandora-master-catalog/default/dwbb259ca6/productimages/singlepackshot/792358C01_RGB.png</v>
      </c>
    </row>
    <row r="3129" spans="1:4" x14ac:dyDescent="0.25">
      <c r="A3129" s="3" t="s">
        <v>3131</v>
      </c>
      <c r="B3129" s="4">
        <v>59</v>
      </c>
      <c r="C3129" s="3" t="str">
        <f ca="1">IFERROR(ROWSDUMMYFUNCTION(IF(A3129="","",IFERROR(IMAGE(CONCATENATE("https://us.pandora.net/on/demandware.static/-/Sites-pandora-master-catalog/default/dwbb259ca6/productimages/singlepackshot/",LEFT(A3129,FIND("-",A3129&amp;"-")-1),"_RGB.png")),""))),"{""url"":""https://us.pandora.net/on/demandware.static/-/Sites-pandora-master-catalog/default/dwbb259ca6/productimages/singlepackshot/792363C01_RGB.png"",""mode"":1}")</f>
        <v>{"url":"https://us.pandora.net/on/demandware.static/-/Sites-pandora-master-catalog/default/dwbb259ca6/productimages/singlepackshot/792363C01_RGB.png","mode":1}</v>
      </c>
      <c r="D3129" s="5" t="str">
        <f ca="1">IFERROR(ROWSDUMMYFUNCTION(IF(A3129="","",CONCATENATE("https://us.pandora.net/on/demandware.static/-/Sites-pandora-master-catalog/default/dwbb259ca6/productimages/singlepackshot/",LEFT(A3129,FIND("-",A3129&amp;"-")-1),"_RGB.png"))),"https://us.pandora.net/on/demandware.static/-/Sites-pandora-master-catalog/default/dwbb259ca6/productimages/singlepackshot/792363C01_RGB.png")</f>
        <v>https://us.pandora.net/on/demandware.static/-/Sites-pandora-master-catalog/default/dwbb259ca6/productimages/singlepackshot/792363C01_RGB.png</v>
      </c>
    </row>
    <row r="3130" spans="1:4" x14ac:dyDescent="0.25">
      <c r="A3130" s="3" t="s">
        <v>3132</v>
      </c>
      <c r="B3130" s="4">
        <v>39</v>
      </c>
      <c r="C3130" s="3" t="str">
        <f ca="1">IFERROR(ROWSDUMMYFUNCTION(IF(A3130="","",IFERROR(IMAGE(CONCATENATE("https://us.pandora.net/on/demandware.static/-/Sites-pandora-master-catalog/default/dwbb259ca6/productimages/singlepackshot/",LEFT(A3130,FIND("-",A3130&amp;"-")-1),"_RGB.png")),""))),"{""url"":""https://us.pandora.net/on/demandware.static/-/Sites-pandora-master-catalog/default/dwbb259ca6/productimages/singlepackshot/792366C01_RGB.png"",""mode"":1}")</f>
        <v>{"url":"https://us.pandora.net/on/demandware.static/-/Sites-pandora-master-catalog/default/dwbb259ca6/productimages/singlepackshot/792366C01_RGB.png","mode":1}</v>
      </c>
      <c r="D3130" s="5" t="str">
        <f ca="1">IFERROR(ROWSDUMMYFUNCTION(IF(A3130="","",CONCATENATE("https://us.pandora.net/on/demandware.static/-/Sites-pandora-master-catalog/default/dwbb259ca6/productimages/singlepackshot/",LEFT(A3130,FIND("-",A3130&amp;"-")-1),"_RGB.png"))),"https://us.pandora.net/on/demandware.static/-/Sites-pandora-master-catalog/default/dwbb259ca6/productimages/singlepackshot/792366C01_RGB.png")</f>
        <v>https://us.pandora.net/on/demandware.static/-/Sites-pandora-master-catalog/default/dwbb259ca6/productimages/singlepackshot/792366C01_RGB.png</v>
      </c>
    </row>
    <row r="3131" spans="1:4" x14ac:dyDescent="0.25">
      <c r="A3131" s="3" t="s">
        <v>3133</v>
      </c>
      <c r="B3131" s="4">
        <v>69</v>
      </c>
      <c r="C3131" s="3" t="str">
        <f ca="1">IFERROR(ROWSDUMMYFUNCTION(IF(A3131="","",IFERROR(IMAGE(CONCATENATE("https://us.pandora.net/on/demandware.static/-/Sites-pandora-master-catalog/default/dwbb259ca6/productimages/singlepackshot/",LEFT(A3131,FIND("-",A3131&amp;"-")-1),"_RGB.png")),""))),"{""url"":""https://us.pandora.net/on/demandware.static/-/Sites-pandora-master-catalog/default/dwbb259ca6/productimages/singlepackshot/792369C01_RGB.png"",""mode"":1}")</f>
        <v>{"url":"https://us.pandora.net/on/demandware.static/-/Sites-pandora-master-catalog/default/dwbb259ca6/productimages/singlepackshot/792369C01_RGB.png","mode":1}</v>
      </c>
      <c r="D3131" s="5" t="str">
        <f ca="1">IFERROR(ROWSDUMMYFUNCTION(IF(A3131="","",CONCATENATE("https://us.pandora.net/on/demandware.static/-/Sites-pandora-master-catalog/default/dwbb259ca6/productimages/singlepackshot/",LEFT(A3131,FIND("-",A3131&amp;"-")-1),"_RGB.png"))),"https://us.pandora.net/on/demandware.static/-/Sites-pandora-master-catalog/default/dwbb259ca6/productimages/singlepackshot/792369C01_RGB.png")</f>
        <v>https://us.pandora.net/on/demandware.static/-/Sites-pandora-master-catalog/default/dwbb259ca6/productimages/singlepackshot/792369C01_RGB.png</v>
      </c>
    </row>
    <row r="3132" spans="1:4" x14ac:dyDescent="0.25">
      <c r="A3132" s="3" t="s">
        <v>3134</v>
      </c>
      <c r="B3132" s="4">
        <v>39</v>
      </c>
      <c r="C3132" s="3" t="str">
        <f ca="1">IFERROR(ROWSDUMMYFUNCTION(IF(A3132="","",IFERROR(IMAGE(CONCATENATE("https://us.pandora.net/on/demandware.static/-/Sites-pandora-master-catalog/default/dwbb259ca6/productimages/singlepackshot/",LEFT(A3132,FIND("-",A3132&amp;"-")-1),"_RGB.png")),""))),"{""url"":""https://us.pandora.net/on/demandware.static/-/Sites-pandora-master-catalog/default/dwbb259ca6/productimages/singlepackshot/792377C00_RGB.png"",""mode"":1}")</f>
        <v>{"url":"https://us.pandora.net/on/demandware.static/-/Sites-pandora-master-catalog/default/dwbb259ca6/productimages/singlepackshot/792377C00_RGB.png","mode":1}</v>
      </c>
      <c r="D3132" s="5" t="str">
        <f ca="1">IFERROR(ROWSDUMMYFUNCTION(IF(A3132="","",CONCATENATE("https://us.pandora.net/on/demandware.static/-/Sites-pandora-master-catalog/default/dwbb259ca6/productimages/singlepackshot/",LEFT(A3132,FIND("-",A3132&amp;"-")-1),"_RGB.png"))),"https://us.pandora.net/on/demandware.static/-/Sites-pandora-master-catalog/default/dwbb259ca6/productimages/singlepackshot/792377C00_RGB.png")</f>
        <v>https://us.pandora.net/on/demandware.static/-/Sites-pandora-master-catalog/default/dwbb259ca6/productimages/singlepackshot/792377C00_RGB.png</v>
      </c>
    </row>
    <row r="3133" spans="1:4" x14ac:dyDescent="0.25">
      <c r="A3133" s="3" t="s">
        <v>3135</v>
      </c>
      <c r="B3133" s="4">
        <v>65</v>
      </c>
      <c r="C3133" s="3" t="str">
        <f ca="1">IFERROR(ROWSDUMMYFUNCTION(IF(A3133="","",IFERROR(IMAGE(CONCATENATE("https://us.pandora.net/on/demandware.static/-/Sites-pandora-master-catalog/default/dwbb259ca6/productimages/singlepackshot/",LEFT(A3133,FIND("-",A3133&amp;"-")-1),"_RGB.png")),""))),"{""url"":""https://us.pandora.net/on/demandware.static/-/Sites-pandora-master-catalog/default/dwbb259ca6/productimages/singlepackshot/792382C01_RGB.png"",""mode"":1}")</f>
        <v>{"url":"https://us.pandora.net/on/demandware.static/-/Sites-pandora-master-catalog/default/dwbb259ca6/productimages/singlepackshot/792382C01_RGB.png","mode":1}</v>
      </c>
      <c r="D3133" s="5" t="str">
        <f ca="1">IFERROR(ROWSDUMMYFUNCTION(IF(A3133="","",CONCATENATE("https://us.pandora.net/on/demandware.static/-/Sites-pandora-master-catalog/default/dwbb259ca6/productimages/singlepackshot/",LEFT(A3133,FIND("-",A3133&amp;"-")-1),"_RGB.png"))),"https://us.pandora.net/on/demandware.static/-/Sites-pandora-master-catalog/default/dwbb259ca6/productimages/singlepackshot/792382C01_RGB.png")</f>
        <v>https://us.pandora.net/on/demandware.static/-/Sites-pandora-master-catalog/default/dwbb259ca6/productimages/singlepackshot/792382C01_RGB.png</v>
      </c>
    </row>
    <row r="3134" spans="1:4" x14ac:dyDescent="0.25">
      <c r="A3134" s="3" t="s">
        <v>3136</v>
      </c>
      <c r="B3134" s="4">
        <v>75</v>
      </c>
      <c r="C3134" s="3" t="str">
        <f ca="1">IFERROR(ROWSDUMMYFUNCTION(IF(A3134="","",IFERROR(IMAGE(CONCATENATE("https://us.pandora.net/on/demandware.static/-/Sites-pandora-master-catalog/default/dwbb259ca6/productimages/singlepackshot/",LEFT(A3134,FIND("-",A3134&amp;"-")-1),"_RGB.png")),""))),"{""url"":""https://us.pandora.net/on/demandware.static/-/Sites-pandora-master-catalog/default/dwbb259ca6/productimages/singlepackshot/792383C01_RGB.png"",""mode"":1}")</f>
        <v>{"url":"https://us.pandora.net/on/demandware.static/-/Sites-pandora-master-catalog/default/dwbb259ca6/productimages/singlepackshot/792383C01_RGB.png","mode":1}</v>
      </c>
      <c r="D3134" s="5" t="str">
        <f ca="1">IFERROR(ROWSDUMMYFUNCTION(IF(A3134="","",CONCATENATE("https://us.pandora.net/on/demandware.static/-/Sites-pandora-master-catalog/default/dwbb259ca6/productimages/singlepackshot/",LEFT(A3134,FIND("-",A3134&amp;"-")-1),"_RGB.png"))),"https://us.pandora.net/on/demandware.static/-/Sites-pandora-master-catalog/default/dwbb259ca6/productimages/singlepackshot/792383C01_RGB.png")</f>
        <v>https://us.pandora.net/on/demandware.static/-/Sites-pandora-master-catalog/default/dwbb259ca6/productimages/singlepackshot/792383C01_RGB.png</v>
      </c>
    </row>
    <row r="3135" spans="1:4" x14ac:dyDescent="0.25">
      <c r="A3135" s="3" t="s">
        <v>3137</v>
      </c>
      <c r="B3135" s="4">
        <v>69</v>
      </c>
      <c r="C3135" s="3" t="str">
        <f ca="1">IFERROR(ROWSDUMMYFUNCTION(IF(A3135="","",IFERROR(IMAGE(CONCATENATE("https://us.pandora.net/on/demandware.static/-/Sites-pandora-master-catalog/default/dwbb259ca6/productimages/singlepackshot/",LEFT(A3135,FIND("-",A3135&amp;"-")-1),"_RGB.png")),""))),"{""url"":""https://us.pandora.net/on/demandware.static/-/Sites-pandora-master-catalog/default/dwbb259ca6/productimages/singlepackshot/792522C01_RGB.png"",""mode"":1}")</f>
        <v>{"url":"https://us.pandora.net/on/demandware.static/-/Sites-pandora-master-catalog/default/dwbb259ca6/productimages/singlepackshot/792522C01_RGB.png","mode":1}</v>
      </c>
      <c r="D3135" s="5" t="str">
        <f ca="1">IFERROR(ROWSDUMMYFUNCTION(IF(A3135="","",CONCATENATE("https://us.pandora.net/on/demandware.static/-/Sites-pandora-master-catalog/default/dwbb259ca6/productimages/singlepackshot/",LEFT(A3135,FIND("-",A3135&amp;"-")-1),"_RGB.png"))),"https://us.pandora.net/on/demandware.static/-/Sites-pandora-master-catalog/default/dwbb259ca6/productimages/singlepackshot/792522C01_RGB.png")</f>
        <v>https://us.pandora.net/on/demandware.static/-/Sites-pandora-master-catalog/default/dwbb259ca6/productimages/singlepackshot/792522C01_RGB.png</v>
      </c>
    </row>
    <row r="3136" spans="1:4" x14ac:dyDescent="0.25">
      <c r="A3136" s="3" t="s">
        <v>3138</v>
      </c>
      <c r="B3136" s="4">
        <v>69</v>
      </c>
      <c r="C3136" s="3" t="str">
        <f ca="1">IFERROR(ROWSDUMMYFUNCTION(IF(A3136="","",IFERROR(IMAGE(CONCATENATE("https://us.pandora.net/on/demandware.static/-/Sites-pandora-master-catalog/default/dwbb259ca6/productimages/singlepackshot/",LEFT(A3136,FIND("-",A3136&amp;"-")-1),"_RGB.png")),""))),"{""url"":""https://us.pandora.net/on/demandware.static/-/Sites-pandora-master-catalog/default/dwbb259ca6/productimages/singlepackshot/792523C01_RGB.png"",""mode"":1}")</f>
        <v>{"url":"https://us.pandora.net/on/demandware.static/-/Sites-pandora-master-catalog/default/dwbb259ca6/productimages/singlepackshot/792523C01_RGB.png","mode":1}</v>
      </c>
      <c r="D3136" s="5" t="str">
        <f ca="1">IFERROR(ROWSDUMMYFUNCTION(IF(A3136="","",CONCATENATE("https://us.pandora.net/on/demandware.static/-/Sites-pandora-master-catalog/default/dwbb259ca6/productimages/singlepackshot/",LEFT(A3136,FIND("-",A3136&amp;"-")-1),"_RGB.png"))),"https://us.pandora.net/on/demandware.static/-/Sites-pandora-master-catalog/default/dwbb259ca6/productimages/singlepackshot/792523C01_RGB.png")</f>
        <v>https://us.pandora.net/on/demandware.static/-/Sites-pandora-master-catalog/default/dwbb259ca6/productimages/singlepackshot/792523C01_RGB.png</v>
      </c>
    </row>
    <row r="3137" spans="1:4" x14ac:dyDescent="0.25">
      <c r="A3137" s="3" t="s">
        <v>3139</v>
      </c>
      <c r="B3137" s="4">
        <v>45</v>
      </c>
      <c r="C3137" s="3" t="str">
        <f ca="1">IFERROR(ROWSDUMMYFUNCTION(IF(A3137="","",IFERROR(IMAGE(CONCATENATE("https://us.pandora.net/on/demandware.static/-/Sites-pandora-master-catalog/default/dwbb259ca6/productimages/singlepackshot/",LEFT(A3137,FIND("-",A3137&amp;"-")-1),"_RGB.png")),""))),"{""url"":""https://us.pandora.net/on/demandware.static/-/Sites-pandora-master-catalog/default/dwbb259ca6/productimages/singlepackshot/792552C01_RGB.png"",""mode"":1}")</f>
        <v>{"url":"https://us.pandora.net/on/demandware.static/-/Sites-pandora-master-catalog/default/dwbb259ca6/productimages/singlepackshot/792552C01_RGB.png","mode":1}</v>
      </c>
      <c r="D3137" s="5" t="str">
        <f ca="1">IFERROR(ROWSDUMMYFUNCTION(IF(A3137="","",CONCATENATE("https://us.pandora.net/on/demandware.static/-/Sites-pandora-master-catalog/default/dwbb259ca6/productimages/singlepackshot/",LEFT(A3137,FIND("-",A3137&amp;"-")-1),"_RGB.png"))),"https://us.pandora.net/on/demandware.static/-/Sites-pandora-master-catalog/default/dwbb259ca6/productimages/singlepackshot/792552C01_RGB.png")</f>
        <v>https://us.pandora.net/on/demandware.static/-/Sites-pandora-master-catalog/default/dwbb259ca6/productimages/singlepackshot/792552C01_RGB.png</v>
      </c>
    </row>
    <row r="3138" spans="1:4" x14ac:dyDescent="0.25">
      <c r="A3138" s="3" t="s">
        <v>3140</v>
      </c>
      <c r="B3138" s="4">
        <v>69</v>
      </c>
      <c r="C3138" s="3" t="str">
        <f ca="1">IFERROR(ROWSDUMMYFUNCTION(IF(A3138="","",IFERROR(IMAGE(CONCATENATE("https://us.pandora.net/on/demandware.static/-/Sites-pandora-master-catalog/default/dwbb259ca6/productimages/singlepackshot/",LEFT(A3138,FIND("-",A3138&amp;"-")-1),"_RGB.png")),""))),"{""url"":""https://us.pandora.net/on/demandware.static/-/Sites-pandora-master-catalog/default/dwbb259ca6/productimages/singlepackshot/792554C01_RGB.png"",""mode"":1}")</f>
        <v>{"url":"https://us.pandora.net/on/demandware.static/-/Sites-pandora-master-catalog/default/dwbb259ca6/productimages/singlepackshot/792554C01_RGB.png","mode":1}</v>
      </c>
      <c r="D3138" s="5" t="str">
        <f ca="1">IFERROR(ROWSDUMMYFUNCTION(IF(A3138="","",CONCATENATE("https://us.pandora.net/on/demandware.static/-/Sites-pandora-master-catalog/default/dwbb259ca6/productimages/singlepackshot/",LEFT(A3138,FIND("-",A3138&amp;"-")-1),"_RGB.png"))),"https://us.pandora.net/on/demandware.static/-/Sites-pandora-master-catalog/default/dwbb259ca6/productimages/singlepackshot/792554C01_RGB.png")</f>
        <v>https://us.pandora.net/on/demandware.static/-/Sites-pandora-master-catalog/default/dwbb259ca6/productimages/singlepackshot/792554C01_RGB.png</v>
      </c>
    </row>
    <row r="3139" spans="1:4" x14ac:dyDescent="0.25">
      <c r="A3139" s="3" t="s">
        <v>3141</v>
      </c>
      <c r="B3139" s="4">
        <v>65</v>
      </c>
      <c r="C3139" s="3" t="str">
        <f ca="1">IFERROR(ROWSDUMMYFUNCTION(IF(A3139="","",IFERROR(IMAGE(CONCATENATE("https://us.pandora.net/on/demandware.static/-/Sites-pandora-master-catalog/default/dwbb259ca6/productimages/singlepackshot/",LEFT(A3139,FIND("-",A3139&amp;"-")-1),"_RGB.png")),""))),"{""url"":""https://us.pandora.net/on/demandware.static/-/Sites-pandora-master-catalog/default/dwbb259ca6/productimages/singlepackshot/792571C01_RGB.png"",""mode"":1}")</f>
        <v>{"url":"https://us.pandora.net/on/demandware.static/-/Sites-pandora-master-catalog/default/dwbb259ca6/productimages/singlepackshot/792571C01_RGB.png","mode":1}</v>
      </c>
      <c r="D3139" s="5" t="str">
        <f ca="1">IFERROR(ROWSDUMMYFUNCTION(IF(A3139="","",CONCATENATE("https://us.pandora.net/on/demandware.static/-/Sites-pandora-master-catalog/default/dwbb259ca6/productimages/singlepackshot/",LEFT(A3139,FIND("-",A3139&amp;"-")-1),"_RGB.png"))),"https://us.pandora.net/on/demandware.static/-/Sites-pandora-master-catalog/default/dwbb259ca6/productimages/singlepackshot/792571C01_RGB.png")</f>
        <v>https://us.pandora.net/on/demandware.static/-/Sites-pandora-master-catalog/default/dwbb259ca6/productimages/singlepackshot/792571C01_RGB.png</v>
      </c>
    </row>
    <row r="3140" spans="1:4" x14ac:dyDescent="0.25">
      <c r="A3140" s="3" t="s">
        <v>3142</v>
      </c>
      <c r="B3140" s="4">
        <v>39</v>
      </c>
      <c r="C3140" s="3" t="str">
        <f ca="1">IFERROR(ROWSDUMMYFUNCTION(IF(A3140="","",IFERROR(IMAGE(CONCATENATE("https://us.pandora.net/on/demandware.static/-/Sites-pandora-master-catalog/default/dwbb259ca6/productimages/singlepackshot/",LEFT(A3140,FIND("-",A3140&amp;"-")-1),"_RGB.png")),""))),"{""url"":""https://us.pandora.net/on/demandware.static/-/Sites-pandora-master-catalog/default/dwbb259ca6/productimages/singlepackshot/792573C01_RGB.png"",""mode"":1}")</f>
        <v>{"url":"https://us.pandora.net/on/demandware.static/-/Sites-pandora-master-catalog/default/dwbb259ca6/productimages/singlepackshot/792573C01_RGB.png","mode":1}</v>
      </c>
      <c r="D3140" s="5" t="str">
        <f ca="1">IFERROR(ROWSDUMMYFUNCTION(IF(A3140="","",CONCATENATE("https://us.pandora.net/on/demandware.static/-/Sites-pandora-master-catalog/default/dwbb259ca6/productimages/singlepackshot/",LEFT(A3140,FIND("-",A3140&amp;"-")-1),"_RGB.png"))),"https://us.pandora.net/on/demandware.static/-/Sites-pandora-master-catalog/default/dwbb259ca6/productimages/singlepackshot/792573C01_RGB.png")</f>
        <v>https://us.pandora.net/on/demandware.static/-/Sites-pandora-master-catalog/default/dwbb259ca6/productimages/singlepackshot/792573C01_RGB.png</v>
      </c>
    </row>
    <row r="3141" spans="1:4" x14ac:dyDescent="0.25">
      <c r="A3141" s="3" t="s">
        <v>3143</v>
      </c>
      <c r="B3141" s="4">
        <v>39</v>
      </c>
      <c r="C3141" s="3" t="str">
        <f ca="1">IFERROR(ROWSDUMMYFUNCTION(IF(A3141="","",IFERROR(IMAGE(CONCATENATE("https://us.pandora.net/on/demandware.static/-/Sites-pandora-master-catalog/default/dwbb259ca6/productimages/singlepackshot/",LEFT(A3141,FIND("-",A3141&amp;"-")-1),"_RGB.png")),""))),"{""url"":""https://us.pandora.net/on/demandware.static/-/Sites-pandora-master-catalog/default/dwbb259ca6/productimages/singlepackshot/792577C00_RGB.png"",""mode"":1}")</f>
        <v>{"url":"https://us.pandora.net/on/demandware.static/-/Sites-pandora-master-catalog/default/dwbb259ca6/productimages/singlepackshot/792577C00_RGB.png","mode":1}</v>
      </c>
      <c r="D3141" s="5" t="str">
        <f ca="1">IFERROR(ROWSDUMMYFUNCTION(IF(A3141="","",CONCATENATE("https://us.pandora.net/on/demandware.static/-/Sites-pandora-master-catalog/default/dwbb259ca6/productimages/singlepackshot/",LEFT(A3141,FIND("-",A3141&amp;"-")-1),"_RGB.png"))),"https://us.pandora.net/on/demandware.static/-/Sites-pandora-master-catalog/default/dwbb259ca6/productimages/singlepackshot/792577C00_RGB.png")</f>
        <v>https://us.pandora.net/on/demandware.static/-/Sites-pandora-master-catalog/default/dwbb259ca6/productimages/singlepackshot/792577C00_RGB.png</v>
      </c>
    </row>
    <row r="3142" spans="1:4" x14ac:dyDescent="0.25">
      <c r="A3142" s="3" t="s">
        <v>3144</v>
      </c>
      <c r="B3142" s="4">
        <v>49</v>
      </c>
      <c r="C3142" s="3" t="str">
        <f ca="1">IFERROR(ROWSDUMMYFUNCTION(IF(A3142="","",IFERROR(IMAGE(CONCATENATE("https://us.pandora.net/on/demandware.static/-/Sites-pandora-master-catalog/default/dwbb259ca6/productimages/singlepackshot/",LEFT(A3142,FIND("-",A3142&amp;"-")-1),"_RGB.png")),""))),"{""url"":""https://us.pandora.net/on/demandware.static/-/Sites-pandora-master-catalog/default/dwbb259ca6/productimages/singlepackshot/792587C01_RGB.png"",""mode"":1}")</f>
        <v>{"url":"https://us.pandora.net/on/demandware.static/-/Sites-pandora-master-catalog/default/dwbb259ca6/productimages/singlepackshot/792587C01_RGB.png","mode":1}</v>
      </c>
      <c r="D3142" s="5" t="str">
        <f ca="1">IFERROR(ROWSDUMMYFUNCTION(IF(A3142="","",CONCATENATE("https://us.pandora.net/on/demandware.static/-/Sites-pandora-master-catalog/default/dwbb259ca6/productimages/singlepackshot/",LEFT(A3142,FIND("-",A3142&amp;"-")-1),"_RGB.png"))),"https://us.pandora.net/on/demandware.static/-/Sites-pandora-master-catalog/default/dwbb259ca6/productimages/singlepackshot/792587C01_RGB.png")</f>
        <v>https://us.pandora.net/on/demandware.static/-/Sites-pandora-master-catalog/default/dwbb259ca6/productimages/singlepackshot/792587C01_RGB.png</v>
      </c>
    </row>
    <row r="3143" spans="1:4" x14ac:dyDescent="0.25">
      <c r="A3143" s="3" t="s">
        <v>3145</v>
      </c>
      <c r="B3143" s="4">
        <v>75</v>
      </c>
      <c r="C3143" s="3" t="str">
        <f ca="1">IFERROR(ROWSDUMMYFUNCTION(IF(A3143="","",IFERROR(IMAGE(CONCATENATE("https://us.pandora.net/on/demandware.static/-/Sites-pandora-master-catalog/default/dwbb259ca6/productimages/singlepackshot/",LEFT(A3143,FIND("-",A3143&amp;"-")-1),"_RGB.png")),""))),"{""url"":""https://us.pandora.net/on/demandware.static/-/Sites-pandora-master-catalog/default/dwbb259ca6/productimages/singlepackshot/792623C01_RGB.png"",""mode"":1}")</f>
        <v>{"url":"https://us.pandora.net/on/demandware.static/-/Sites-pandora-master-catalog/default/dwbb259ca6/productimages/singlepackshot/792623C01_RGB.png","mode":1}</v>
      </c>
      <c r="D3143" s="5" t="str">
        <f ca="1">IFERROR(ROWSDUMMYFUNCTION(IF(A3143="","",CONCATENATE("https://us.pandora.net/on/demandware.static/-/Sites-pandora-master-catalog/default/dwbb259ca6/productimages/singlepackshot/",LEFT(A3143,FIND("-",A3143&amp;"-")-1),"_RGB.png"))),"https://us.pandora.net/on/demandware.static/-/Sites-pandora-master-catalog/default/dwbb259ca6/productimages/singlepackshot/792623C01_RGB.png")</f>
        <v>https://us.pandora.net/on/demandware.static/-/Sites-pandora-master-catalog/default/dwbb259ca6/productimages/singlepackshot/792623C01_RGB.png</v>
      </c>
    </row>
    <row r="3144" spans="1:4" x14ac:dyDescent="0.25">
      <c r="A3144" s="3" t="s">
        <v>3146</v>
      </c>
      <c r="B3144" s="4">
        <v>75</v>
      </c>
      <c r="C3144" s="3" t="str">
        <f ca="1">IFERROR(ROWSDUMMYFUNCTION(IF(A3144="","",IFERROR(IMAGE(CONCATENATE("https://us.pandora.net/on/demandware.static/-/Sites-pandora-master-catalog/default/dwbb259ca6/productimages/singlepackshot/",LEFT(A3144,FIND("-",A3144&amp;"-")-1),"_RGB.png")),""))),"{""url"":""https://us.pandora.net/on/demandware.static/-/Sites-pandora-master-catalog/default/dwbb259ca6/productimages/singlepackshot/792630C01_RGB.png"",""mode"":1}")</f>
        <v>{"url":"https://us.pandora.net/on/demandware.static/-/Sites-pandora-master-catalog/default/dwbb259ca6/productimages/singlepackshot/792630C01_RGB.png","mode":1}</v>
      </c>
      <c r="D3144" s="5" t="str">
        <f ca="1">IFERROR(ROWSDUMMYFUNCTION(IF(A3144="","",CONCATENATE("https://us.pandora.net/on/demandware.static/-/Sites-pandora-master-catalog/default/dwbb259ca6/productimages/singlepackshot/",LEFT(A3144,FIND("-",A3144&amp;"-")-1),"_RGB.png"))),"https://us.pandora.net/on/demandware.static/-/Sites-pandora-master-catalog/default/dwbb259ca6/productimages/singlepackshot/792630C01_RGB.png")</f>
        <v>https://us.pandora.net/on/demandware.static/-/Sites-pandora-master-catalog/default/dwbb259ca6/productimages/singlepackshot/792630C01_RGB.png</v>
      </c>
    </row>
    <row r="3145" spans="1:4" x14ac:dyDescent="0.25">
      <c r="A3145" s="3" t="s">
        <v>3147</v>
      </c>
      <c r="B3145" s="4">
        <v>75</v>
      </c>
      <c r="C3145" s="3" t="str">
        <f ca="1">IFERROR(ROWSDUMMYFUNCTION(IF(A3145="","",IFERROR(IMAGE(CONCATENATE("https://us.pandora.net/on/demandware.static/-/Sites-pandora-master-catalog/default/dwbb259ca6/productimages/singlepackshot/",LEFT(A3145,FIND("-",A3145&amp;"-")-1),"_RGB.png")),""))),"{""url"":""https://us.pandora.net/on/demandware.static/-/Sites-pandora-master-catalog/default/dwbb259ca6/productimages/singlepackshot/792630C02_RGB.png"",""mode"":1}")</f>
        <v>{"url":"https://us.pandora.net/on/demandware.static/-/Sites-pandora-master-catalog/default/dwbb259ca6/productimages/singlepackshot/792630C02_RGB.png","mode":1}</v>
      </c>
      <c r="D3145" s="5" t="str">
        <f ca="1">IFERROR(ROWSDUMMYFUNCTION(IF(A3145="","",CONCATENATE("https://us.pandora.net/on/demandware.static/-/Sites-pandora-master-catalog/default/dwbb259ca6/productimages/singlepackshot/",LEFT(A3145,FIND("-",A3145&amp;"-")-1),"_RGB.png"))),"https://us.pandora.net/on/demandware.static/-/Sites-pandora-master-catalog/default/dwbb259ca6/productimages/singlepackshot/792630C02_RGB.png")</f>
        <v>https://us.pandora.net/on/demandware.static/-/Sites-pandora-master-catalog/default/dwbb259ca6/productimages/singlepackshot/792630C02_RGB.png</v>
      </c>
    </row>
    <row r="3146" spans="1:4" x14ac:dyDescent="0.25">
      <c r="A3146" s="3" t="s">
        <v>3148</v>
      </c>
      <c r="B3146" s="4">
        <v>75</v>
      </c>
      <c r="C3146" s="3" t="str">
        <f ca="1">IFERROR(ROWSDUMMYFUNCTION(IF(A3146="","",IFERROR(IMAGE(CONCATENATE("https://us.pandora.net/on/demandware.static/-/Sites-pandora-master-catalog/default/dwbb259ca6/productimages/singlepackshot/",LEFT(A3146,FIND("-",A3146&amp;"-")-1),"_RGB.png")),""))),"{""url"":""https://us.pandora.net/on/demandware.static/-/Sites-pandora-master-catalog/default/dwbb259ca6/productimages/singlepackshot/792630C03_RGB.png"",""mode"":1}")</f>
        <v>{"url":"https://us.pandora.net/on/demandware.static/-/Sites-pandora-master-catalog/default/dwbb259ca6/productimages/singlepackshot/792630C03_RGB.png","mode":1}</v>
      </c>
      <c r="D3146" s="5" t="str">
        <f ca="1">IFERROR(ROWSDUMMYFUNCTION(IF(A3146="","",CONCATENATE("https://us.pandora.net/on/demandware.static/-/Sites-pandora-master-catalog/default/dwbb259ca6/productimages/singlepackshot/",LEFT(A3146,FIND("-",A3146&amp;"-")-1),"_RGB.png"))),"https://us.pandora.net/on/demandware.static/-/Sites-pandora-master-catalog/default/dwbb259ca6/productimages/singlepackshot/792630C03_RGB.png")</f>
        <v>https://us.pandora.net/on/demandware.static/-/Sites-pandora-master-catalog/default/dwbb259ca6/productimages/singlepackshot/792630C03_RGB.png</v>
      </c>
    </row>
    <row r="3147" spans="1:4" x14ac:dyDescent="0.25">
      <c r="A3147" s="3" t="s">
        <v>3149</v>
      </c>
      <c r="B3147" s="4">
        <v>75</v>
      </c>
      <c r="C3147" s="3" t="str">
        <f ca="1">IFERROR(ROWSDUMMYFUNCTION(IF(A3147="","",IFERROR(IMAGE(CONCATENATE("https://us.pandora.net/on/demandware.static/-/Sites-pandora-master-catalog/default/dwbb259ca6/productimages/singlepackshot/",LEFT(A3147,FIND("-",A3147&amp;"-")-1),"_RGB.png")),""))),"{""url"":""https://us.pandora.net/on/demandware.static/-/Sites-pandora-master-catalog/default/dwbb259ca6/productimages/singlepackshot/792630C04_RGB.png"",""mode"":1}")</f>
        <v>{"url":"https://us.pandora.net/on/demandware.static/-/Sites-pandora-master-catalog/default/dwbb259ca6/productimages/singlepackshot/792630C04_RGB.png","mode":1}</v>
      </c>
      <c r="D3147" s="5" t="str">
        <f ca="1">IFERROR(ROWSDUMMYFUNCTION(IF(A3147="","",CONCATENATE("https://us.pandora.net/on/demandware.static/-/Sites-pandora-master-catalog/default/dwbb259ca6/productimages/singlepackshot/",LEFT(A3147,FIND("-",A3147&amp;"-")-1),"_RGB.png"))),"https://us.pandora.net/on/demandware.static/-/Sites-pandora-master-catalog/default/dwbb259ca6/productimages/singlepackshot/792630C04_RGB.png")</f>
        <v>https://us.pandora.net/on/demandware.static/-/Sites-pandora-master-catalog/default/dwbb259ca6/productimages/singlepackshot/792630C04_RGB.png</v>
      </c>
    </row>
    <row r="3148" spans="1:4" x14ac:dyDescent="0.25">
      <c r="A3148" s="3" t="s">
        <v>3150</v>
      </c>
      <c r="B3148" s="4">
        <v>69</v>
      </c>
      <c r="C3148" s="3" t="str">
        <f ca="1">IFERROR(ROWSDUMMYFUNCTION(IF(A3148="","",IFERROR(IMAGE(CONCATENATE("https://us.pandora.net/on/demandware.static/-/Sites-pandora-master-catalog/default/dwbb259ca6/productimages/singlepackshot/",LEFT(A3148,FIND("-",A3148&amp;"-")-1),"_RGB.png")),""))),"{""url"":""https://us.pandora.net/on/demandware.static/-/Sites-pandora-master-catalog/default/dwbb259ca6/productimages/singlepackshot/792643C01_RGB.png"",""mode"":1}")</f>
        <v>{"url":"https://us.pandora.net/on/demandware.static/-/Sites-pandora-master-catalog/default/dwbb259ca6/productimages/singlepackshot/792643C01_RGB.png","mode":1}</v>
      </c>
      <c r="D3148" s="5" t="str">
        <f ca="1">IFERROR(ROWSDUMMYFUNCTION(IF(A3148="","",CONCATENATE("https://us.pandora.net/on/demandware.static/-/Sites-pandora-master-catalog/default/dwbb259ca6/productimages/singlepackshot/",LEFT(A3148,FIND("-",A3148&amp;"-")-1),"_RGB.png"))),"https://us.pandora.net/on/demandware.static/-/Sites-pandora-master-catalog/default/dwbb259ca6/productimages/singlepackshot/792643C01_RGB.png")</f>
        <v>https://us.pandora.net/on/demandware.static/-/Sites-pandora-master-catalog/default/dwbb259ca6/productimages/singlepackshot/792643C01_RGB.png</v>
      </c>
    </row>
    <row r="3149" spans="1:4" x14ac:dyDescent="0.25">
      <c r="A3149" s="3" t="s">
        <v>3151</v>
      </c>
      <c r="B3149" s="4">
        <v>69</v>
      </c>
      <c r="C3149" s="3" t="str">
        <f ca="1">IFERROR(ROWSDUMMYFUNCTION(IF(A3149="","",IFERROR(IMAGE(CONCATENATE("https://us.pandora.net/on/demandware.static/-/Sites-pandora-master-catalog/default/dwbb259ca6/productimages/singlepackshot/",LEFT(A3149,FIND("-",A3149&amp;"-")-1),"_RGB.png")),""))),"{""url"":""https://us.pandora.net/on/demandware.static/-/Sites-pandora-master-catalog/default/dwbb259ca6/productimages/singlepackshot/792649C01_RGB.png"",""mode"":1}")</f>
        <v>{"url":"https://us.pandora.net/on/demandware.static/-/Sites-pandora-master-catalog/default/dwbb259ca6/productimages/singlepackshot/792649C01_RGB.png","mode":1}</v>
      </c>
      <c r="D3149" s="5" t="str">
        <f ca="1">IFERROR(ROWSDUMMYFUNCTION(IF(A3149="","",CONCATENATE("https://us.pandora.net/on/demandware.static/-/Sites-pandora-master-catalog/default/dwbb259ca6/productimages/singlepackshot/",LEFT(A3149,FIND("-",A3149&amp;"-")-1),"_RGB.png"))),"https://us.pandora.net/on/demandware.static/-/Sites-pandora-master-catalog/default/dwbb259ca6/productimages/singlepackshot/792649C01_RGB.png")</f>
        <v>https://us.pandora.net/on/demandware.static/-/Sites-pandora-master-catalog/default/dwbb259ca6/productimages/singlepackshot/792649C01_RGB.png</v>
      </c>
    </row>
    <row r="3150" spans="1:4" x14ac:dyDescent="0.25">
      <c r="A3150" s="3" t="s">
        <v>3152</v>
      </c>
      <c r="B3150" s="4">
        <v>65</v>
      </c>
      <c r="C3150" s="3" t="str">
        <f ca="1">IFERROR(ROWSDUMMYFUNCTION(IF(A3150="","",IFERROR(IMAGE(CONCATENATE("https://us.pandora.net/on/demandware.static/-/Sites-pandora-master-catalog/default/dwbb259ca6/productimages/singlepackshot/",LEFT(A3150,FIND("-",A3150&amp;"-")-1),"_RGB.png")),""))),"{""url"":""https://us.pandora.net/on/demandware.static/-/Sites-pandora-master-catalog/default/dwbb259ca6/productimages/singlepackshot/792654C01_RGB.png"",""mode"":1}")</f>
        <v>{"url":"https://us.pandora.net/on/demandware.static/-/Sites-pandora-master-catalog/default/dwbb259ca6/productimages/singlepackshot/792654C01_RGB.png","mode":1}</v>
      </c>
      <c r="D3150" s="5" t="str">
        <f ca="1">IFERROR(ROWSDUMMYFUNCTION(IF(A3150="","",CONCATENATE("https://us.pandora.net/on/demandware.static/-/Sites-pandora-master-catalog/default/dwbb259ca6/productimages/singlepackshot/",LEFT(A3150,FIND("-",A3150&amp;"-")-1),"_RGB.png"))),"https://us.pandora.net/on/demandware.static/-/Sites-pandora-master-catalog/default/dwbb259ca6/productimages/singlepackshot/792654C01_RGB.png")</f>
        <v>https://us.pandora.net/on/demandware.static/-/Sites-pandora-master-catalog/default/dwbb259ca6/productimages/singlepackshot/792654C01_RGB.png</v>
      </c>
    </row>
    <row r="3151" spans="1:4" x14ac:dyDescent="0.25">
      <c r="A3151" s="3" t="s">
        <v>3153</v>
      </c>
      <c r="B3151" s="4">
        <v>69</v>
      </c>
      <c r="C3151" s="3" t="str">
        <f ca="1">IFERROR(ROWSDUMMYFUNCTION(IF(A3151="","",IFERROR(IMAGE(CONCATENATE("https://us.pandora.net/on/demandware.static/-/Sites-pandora-master-catalog/default/dwbb259ca6/productimages/singlepackshot/",LEFT(A3151,FIND("-",A3151&amp;"-")-1),"_RGB.png")),""))),"{""url"":""https://us.pandora.net/on/demandware.static/-/Sites-pandora-master-catalog/default/dwbb259ca6/productimages/singlepackshot/792679C01_RGB.png"",""mode"":1}")</f>
        <v>{"url":"https://us.pandora.net/on/demandware.static/-/Sites-pandora-master-catalog/default/dwbb259ca6/productimages/singlepackshot/792679C01_RGB.png","mode":1}</v>
      </c>
      <c r="D3151" s="5" t="str">
        <f ca="1">IFERROR(ROWSDUMMYFUNCTION(IF(A3151="","",CONCATENATE("https://us.pandora.net/on/demandware.static/-/Sites-pandora-master-catalog/default/dwbb259ca6/productimages/singlepackshot/",LEFT(A3151,FIND("-",A3151&amp;"-")-1),"_RGB.png"))),"https://us.pandora.net/on/demandware.static/-/Sites-pandora-master-catalog/default/dwbb259ca6/productimages/singlepackshot/792679C01_RGB.png")</f>
        <v>https://us.pandora.net/on/demandware.static/-/Sites-pandora-master-catalog/default/dwbb259ca6/productimages/singlepackshot/792679C01_RGB.png</v>
      </c>
    </row>
    <row r="3152" spans="1:4" x14ac:dyDescent="0.25">
      <c r="A3152" s="3" t="s">
        <v>3154</v>
      </c>
      <c r="B3152" s="4">
        <v>55</v>
      </c>
      <c r="C3152" s="3" t="str">
        <f ca="1">IFERROR(ROWSDUMMYFUNCTION(IF(A3152="","",IFERROR(IMAGE(CONCATENATE("https://us.pandora.net/on/demandware.static/-/Sites-pandora-master-catalog/default/dwbb259ca6/productimages/singlepackshot/",LEFT(A3152,FIND("-",A3152&amp;"-")-1),"_RGB.png")),""))),"{""url"":""https://us.pandora.net/on/demandware.static/-/Sites-pandora-master-catalog/default/dwbb259ca6/productimages/singlepackshot/792680C01_RGB.png"",""mode"":1}")</f>
        <v>{"url":"https://us.pandora.net/on/demandware.static/-/Sites-pandora-master-catalog/default/dwbb259ca6/productimages/singlepackshot/792680C01_RGB.png","mode":1}</v>
      </c>
      <c r="D3152" s="5" t="str">
        <f ca="1">IFERROR(ROWSDUMMYFUNCTION(IF(A3152="","",CONCATENATE("https://us.pandora.net/on/demandware.static/-/Sites-pandora-master-catalog/default/dwbb259ca6/productimages/singlepackshot/",LEFT(A3152,FIND("-",A3152&amp;"-")-1),"_RGB.png"))),"https://us.pandora.net/on/demandware.static/-/Sites-pandora-master-catalog/default/dwbb259ca6/productimages/singlepackshot/792680C01_RGB.png")</f>
        <v>https://us.pandora.net/on/demandware.static/-/Sites-pandora-master-catalog/default/dwbb259ca6/productimages/singlepackshot/792680C01_RGB.png</v>
      </c>
    </row>
    <row r="3153" spans="1:4" x14ac:dyDescent="0.25">
      <c r="A3153" s="3" t="s">
        <v>3155</v>
      </c>
      <c r="B3153" s="4">
        <v>69</v>
      </c>
      <c r="C3153" s="3" t="str">
        <f ca="1">IFERROR(ROWSDUMMYFUNCTION(IF(A3153="","",IFERROR(IMAGE(CONCATENATE("https://us.pandora.net/on/demandware.static/-/Sites-pandora-master-catalog/default/dwbb259ca6/productimages/singlepackshot/",LEFT(A3153,FIND("-",A3153&amp;"-")-1),"_RGB.png")),""))),"{""url"":""https://us.pandora.net/on/demandware.static/-/Sites-pandora-master-catalog/default/dwbb259ca6/productimages/singlepackshot/792695C01_RGB.png"",""mode"":1}")</f>
        <v>{"url":"https://us.pandora.net/on/demandware.static/-/Sites-pandora-master-catalog/default/dwbb259ca6/productimages/singlepackshot/792695C01_RGB.png","mode":1}</v>
      </c>
      <c r="D3153" s="5" t="str">
        <f ca="1">IFERROR(ROWSDUMMYFUNCTION(IF(A3153="","",CONCATENATE("https://us.pandora.net/on/demandware.static/-/Sites-pandora-master-catalog/default/dwbb259ca6/productimages/singlepackshot/",LEFT(A3153,FIND("-",A3153&amp;"-")-1),"_RGB.png"))),"https://us.pandora.net/on/demandware.static/-/Sites-pandora-master-catalog/default/dwbb259ca6/productimages/singlepackshot/792695C01_RGB.png")</f>
        <v>https://us.pandora.net/on/demandware.static/-/Sites-pandora-master-catalog/default/dwbb259ca6/productimages/singlepackshot/792695C01_RGB.png</v>
      </c>
    </row>
    <row r="3154" spans="1:4" x14ac:dyDescent="0.25">
      <c r="A3154" s="3" t="s">
        <v>3156</v>
      </c>
      <c r="B3154" s="4">
        <v>65</v>
      </c>
      <c r="C3154" s="3" t="str">
        <f ca="1">IFERROR(ROWSDUMMYFUNCTION(IF(A3154="","",IFERROR(IMAGE(CONCATENATE("https://us.pandora.net/on/demandware.static/-/Sites-pandora-master-catalog/default/dwbb259ca6/productimages/singlepackshot/",LEFT(A3154,FIND("-",A3154&amp;"-")-1),"_RGB.png")),""))),"{""url"":""https://us.pandora.net/on/demandware.static/-/Sites-pandora-master-catalog/default/dwbb259ca6/productimages/singlepackshot/792698C01_RGB.png"",""mode"":1}")</f>
        <v>{"url":"https://us.pandora.net/on/demandware.static/-/Sites-pandora-master-catalog/default/dwbb259ca6/productimages/singlepackshot/792698C01_RGB.png","mode":1}</v>
      </c>
      <c r="D3154" s="5" t="str">
        <f ca="1">IFERROR(ROWSDUMMYFUNCTION(IF(A3154="","",CONCATENATE("https://us.pandora.net/on/demandware.static/-/Sites-pandora-master-catalog/default/dwbb259ca6/productimages/singlepackshot/",LEFT(A3154,FIND("-",A3154&amp;"-")-1),"_RGB.png"))),"https://us.pandora.net/on/demandware.static/-/Sites-pandora-master-catalog/default/dwbb259ca6/productimages/singlepackshot/792698C01_RGB.png")</f>
        <v>https://us.pandora.net/on/demandware.static/-/Sites-pandora-master-catalog/default/dwbb259ca6/productimages/singlepackshot/792698C01_RGB.png</v>
      </c>
    </row>
    <row r="3155" spans="1:4" x14ac:dyDescent="0.25">
      <c r="A3155" s="3" t="s">
        <v>3157</v>
      </c>
      <c r="B3155" s="4">
        <v>55</v>
      </c>
      <c r="C3155" s="3" t="str">
        <f ca="1">IFERROR(ROWSDUMMYFUNCTION(IF(A3155="","",IFERROR(IMAGE(CONCATENATE("https://us.pandora.net/on/demandware.static/-/Sites-pandora-master-catalog/default/dwbb259ca6/productimages/singlepackshot/",LEFT(A3155,FIND("-",A3155&amp;"-")-1),"_RGB.png")),""))),"{""url"":""https://us.pandora.net/on/demandware.static/-/Sites-pandora-master-catalog/default/dwbb259ca6/productimages/singlepackshot/792700C01_RGB.png"",""mode"":1}")</f>
        <v>{"url":"https://us.pandora.net/on/demandware.static/-/Sites-pandora-master-catalog/default/dwbb259ca6/productimages/singlepackshot/792700C01_RGB.png","mode":1}</v>
      </c>
      <c r="D3155" s="5" t="str">
        <f ca="1">IFERROR(ROWSDUMMYFUNCTION(IF(A3155="","",CONCATENATE("https://us.pandora.net/on/demandware.static/-/Sites-pandora-master-catalog/default/dwbb259ca6/productimages/singlepackshot/",LEFT(A3155,FIND("-",A3155&amp;"-")-1),"_RGB.png"))),"https://us.pandora.net/on/demandware.static/-/Sites-pandora-master-catalog/default/dwbb259ca6/productimages/singlepackshot/792700C01_RGB.png")</f>
        <v>https://us.pandora.net/on/demandware.static/-/Sites-pandora-master-catalog/default/dwbb259ca6/productimages/singlepackshot/792700C01_RGB.png</v>
      </c>
    </row>
    <row r="3156" spans="1:4" x14ac:dyDescent="0.25">
      <c r="A3156" s="3" t="s">
        <v>3158</v>
      </c>
      <c r="B3156" s="4">
        <v>29</v>
      </c>
      <c r="C3156" s="3" t="str">
        <f ca="1">IFERROR(ROWSDUMMYFUNCTION(IF(A3156="","",IFERROR(IMAGE(CONCATENATE("https://us.pandora.net/on/demandware.static/-/Sites-pandora-master-catalog/default/dwbb259ca6/productimages/singlepackshot/",LEFT(A3156,FIND("-",A3156&amp;"-")-1),"_RGB.png")),""))),"{""url"":""https://us.pandora.net/on/demandware.static/-/Sites-pandora-master-catalog/default/dwbb259ca6/productimages/singlepackshot/792701C01_RGB.png"",""mode"":1}")</f>
        <v>{"url":"https://us.pandora.net/on/demandware.static/-/Sites-pandora-master-catalog/default/dwbb259ca6/productimages/singlepackshot/792701C01_RGB.png","mode":1}</v>
      </c>
      <c r="D3156" s="5" t="str">
        <f ca="1">IFERROR(ROWSDUMMYFUNCTION(IF(A3156="","",CONCATENATE("https://us.pandora.net/on/demandware.static/-/Sites-pandora-master-catalog/default/dwbb259ca6/productimages/singlepackshot/",LEFT(A3156,FIND("-",A3156&amp;"-")-1),"_RGB.png"))),"https://us.pandora.net/on/demandware.static/-/Sites-pandora-master-catalog/default/dwbb259ca6/productimages/singlepackshot/792701C01_RGB.png")</f>
        <v>https://us.pandora.net/on/demandware.static/-/Sites-pandora-master-catalog/default/dwbb259ca6/productimages/singlepackshot/792701C01_RGB.png</v>
      </c>
    </row>
    <row r="3157" spans="1:4" x14ac:dyDescent="0.25">
      <c r="A3157" s="3" t="s">
        <v>3159</v>
      </c>
      <c r="B3157" s="4">
        <v>69</v>
      </c>
      <c r="C3157" s="3" t="str">
        <f ca="1">IFERROR(ROWSDUMMYFUNCTION(IF(A3157="","",IFERROR(IMAGE(CONCATENATE("https://us.pandora.net/on/demandware.static/-/Sites-pandora-master-catalog/default/dwbb259ca6/productimages/singlepackshot/",LEFT(A3157,FIND("-",A3157&amp;"-")-1),"_RGB.png")),""))),"{""url"":""https://us.pandora.net/on/demandware.static/-/Sites-pandora-master-catalog/default/dwbb259ca6/productimages/singlepackshot/792703C01_RGB.png"",""mode"":1}")</f>
        <v>{"url":"https://us.pandora.net/on/demandware.static/-/Sites-pandora-master-catalog/default/dwbb259ca6/productimages/singlepackshot/792703C01_RGB.png","mode":1}</v>
      </c>
      <c r="D3157" s="5" t="str">
        <f ca="1">IFERROR(ROWSDUMMYFUNCTION(IF(A3157="","",CONCATENATE("https://us.pandora.net/on/demandware.static/-/Sites-pandora-master-catalog/default/dwbb259ca6/productimages/singlepackshot/",LEFT(A3157,FIND("-",A3157&amp;"-")-1),"_RGB.png"))),"https://us.pandora.net/on/demandware.static/-/Sites-pandora-master-catalog/default/dwbb259ca6/productimages/singlepackshot/792703C01_RGB.png")</f>
        <v>https://us.pandora.net/on/demandware.static/-/Sites-pandora-master-catalog/default/dwbb259ca6/productimages/singlepackshot/792703C01_RGB.png</v>
      </c>
    </row>
    <row r="3158" spans="1:4" x14ac:dyDescent="0.25">
      <c r="A3158" s="3" t="s">
        <v>3160</v>
      </c>
      <c r="B3158" s="4">
        <v>65</v>
      </c>
      <c r="C3158" s="3" t="str">
        <f ca="1">IFERROR(ROWSDUMMYFUNCTION(IF(A3158="","",IFERROR(IMAGE(CONCATENATE("https://us.pandora.net/on/demandware.static/-/Sites-pandora-master-catalog/default/dwbb259ca6/productimages/singlepackshot/",LEFT(A3158,FIND("-",A3158&amp;"-")-1),"_RGB.png")),""))),"{""url"":""https://us.pandora.net/on/demandware.static/-/Sites-pandora-master-catalog/default/dwbb259ca6/productimages/singlepackshot/792704C01_RGB.png"",""mode"":1}")</f>
        <v>{"url":"https://us.pandora.net/on/demandware.static/-/Sites-pandora-master-catalog/default/dwbb259ca6/productimages/singlepackshot/792704C01_RGB.png","mode":1}</v>
      </c>
      <c r="D3158" s="5" t="str">
        <f ca="1">IFERROR(ROWSDUMMYFUNCTION(IF(A3158="","",CONCATENATE("https://us.pandora.net/on/demandware.static/-/Sites-pandora-master-catalog/default/dwbb259ca6/productimages/singlepackshot/",LEFT(A3158,FIND("-",A3158&amp;"-")-1),"_RGB.png"))),"https://us.pandora.net/on/demandware.static/-/Sites-pandora-master-catalog/default/dwbb259ca6/productimages/singlepackshot/792704C01_RGB.png")</f>
        <v>https://us.pandora.net/on/demandware.static/-/Sites-pandora-master-catalog/default/dwbb259ca6/productimages/singlepackshot/792704C01_RGB.png</v>
      </c>
    </row>
    <row r="3159" spans="1:4" x14ac:dyDescent="0.25">
      <c r="A3159" s="3" t="s">
        <v>3161</v>
      </c>
      <c r="B3159" s="4">
        <v>55</v>
      </c>
      <c r="C3159" s="3" t="str">
        <f ca="1">IFERROR(ROWSDUMMYFUNCTION(IF(A3159="","",IFERROR(IMAGE(CONCATENATE("https://us.pandora.net/on/demandware.static/-/Sites-pandora-master-catalog/default/dwbb259ca6/productimages/singlepackshot/",LEFT(A3159,FIND("-",A3159&amp;"-")-1),"_RGB.png")),""))),"{""url"":""https://us.pandora.net/on/demandware.static/-/Sites-pandora-master-catalog/default/dwbb259ca6/productimages/singlepackshot/792709C01_RGB.png"",""mode"":1}")</f>
        <v>{"url":"https://us.pandora.net/on/demandware.static/-/Sites-pandora-master-catalog/default/dwbb259ca6/productimages/singlepackshot/792709C01_RGB.png","mode":1}</v>
      </c>
      <c r="D3159" s="5" t="str">
        <f ca="1">IFERROR(ROWSDUMMYFUNCTION(IF(A3159="","",CONCATENATE("https://us.pandora.net/on/demandware.static/-/Sites-pandora-master-catalog/default/dwbb259ca6/productimages/singlepackshot/",LEFT(A3159,FIND("-",A3159&amp;"-")-1),"_RGB.png"))),"https://us.pandora.net/on/demandware.static/-/Sites-pandora-master-catalog/default/dwbb259ca6/productimages/singlepackshot/792709C01_RGB.png")</f>
        <v>https://us.pandora.net/on/demandware.static/-/Sites-pandora-master-catalog/default/dwbb259ca6/productimages/singlepackshot/792709C01_RGB.png</v>
      </c>
    </row>
    <row r="3160" spans="1:4" x14ac:dyDescent="0.25">
      <c r="A3160" s="3" t="s">
        <v>3162</v>
      </c>
      <c r="B3160" s="4">
        <v>69</v>
      </c>
      <c r="C3160" s="3" t="str">
        <f ca="1">IFERROR(ROWSDUMMYFUNCTION(IF(A3160="","",IFERROR(IMAGE(CONCATENATE("https://us.pandora.net/on/demandware.static/-/Sites-pandora-master-catalog/default/dwbb259ca6/productimages/singlepackshot/",LEFT(A3160,FIND("-",A3160&amp;"-")-1),"_RGB.png")),""))),"{""url"":""https://us.pandora.net/on/demandware.static/-/Sites-pandora-master-catalog/default/dwbb259ca6/productimages/singlepackshot/792714C01_RGB.png"",""mode"":1}")</f>
        <v>{"url":"https://us.pandora.net/on/demandware.static/-/Sites-pandora-master-catalog/default/dwbb259ca6/productimages/singlepackshot/792714C01_RGB.png","mode":1}</v>
      </c>
      <c r="D3160" s="5" t="str">
        <f ca="1">IFERROR(ROWSDUMMYFUNCTION(IF(A3160="","",CONCATENATE("https://us.pandora.net/on/demandware.static/-/Sites-pandora-master-catalog/default/dwbb259ca6/productimages/singlepackshot/",LEFT(A3160,FIND("-",A3160&amp;"-")-1),"_RGB.png"))),"https://us.pandora.net/on/demandware.static/-/Sites-pandora-master-catalog/default/dwbb259ca6/productimages/singlepackshot/792714C01_RGB.png")</f>
        <v>https://us.pandora.net/on/demandware.static/-/Sites-pandora-master-catalog/default/dwbb259ca6/productimages/singlepackshot/792714C01_RGB.png</v>
      </c>
    </row>
    <row r="3161" spans="1:4" x14ac:dyDescent="0.25">
      <c r="A3161" s="3" t="s">
        <v>3163</v>
      </c>
      <c r="B3161" s="4">
        <v>29</v>
      </c>
      <c r="C3161" s="3" t="str">
        <f ca="1">IFERROR(ROWSDUMMYFUNCTION(IF(A3161="","",IFERROR(IMAGE(CONCATENATE("https://us.pandora.net/on/demandware.static/-/Sites-pandora-master-catalog/default/dwbb259ca6/productimages/singlepackshot/",LEFT(A3161,FIND("-",A3161&amp;"-")-1),"_RGB.png")),""))),"{""url"":""https://us.pandora.net/on/demandware.static/-/Sites-pandora-master-catalog/default/dwbb259ca6/productimages/singlepackshot/792746C00_RGB.png"",""mode"":1}")</f>
        <v>{"url":"https://us.pandora.net/on/demandware.static/-/Sites-pandora-master-catalog/default/dwbb259ca6/productimages/singlepackshot/792746C00_RGB.png","mode":1}</v>
      </c>
      <c r="D3161" s="5" t="str">
        <f ca="1">IFERROR(ROWSDUMMYFUNCTION(IF(A3161="","",CONCATENATE("https://us.pandora.net/on/demandware.static/-/Sites-pandora-master-catalog/default/dwbb259ca6/productimages/singlepackshot/",LEFT(A3161,FIND("-",A3161&amp;"-")-1),"_RGB.png"))),"https://us.pandora.net/on/demandware.static/-/Sites-pandora-master-catalog/default/dwbb259ca6/productimages/singlepackshot/792746C00_RGB.png")</f>
        <v>https://us.pandora.net/on/demandware.static/-/Sites-pandora-master-catalog/default/dwbb259ca6/productimages/singlepackshot/792746C00_RGB.png</v>
      </c>
    </row>
    <row r="3162" spans="1:4" x14ac:dyDescent="0.25">
      <c r="A3162" s="3" t="s">
        <v>3164</v>
      </c>
      <c r="B3162" s="4">
        <v>29</v>
      </c>
      <c r="C3162" s="3" t="str">
        <f ca="1">IFERROR(ROWSDUMMYFUNCTION(IF(A3162="","",IFERROR(IMAGE(CONCATENATE("https://us.pandora.net/on/demandware.static/-/Sites-pandora-master-catalog/default/dwbb259ca6/productimages/singlepackshot/",LEFT(A3162,FIND("-",A3162&amp;"-")-1),"_RGB.png")),""))),"{""url"":""https://us.pandora.net/on/demandware.static/-/Sites-pandora-master-catalog/default/dwbb259ca6/productimages/singlepackshot/792751C01_RGB.png"",""mode"":1}")</f>
        <v>{"url":"https://us.pandora.net/on/demandware.static/-/Sites-pandora-master-catalog/default/dwbb259ca6/productimages/singlepackshot/792751C01_RGB.png","mode":1}</v>
      </c>
      <c r="D3162" s="5" t="str">
        <f ca="1">IFERROR(ROWSDUMMYFUNCTION(IF(A3162="","",CONCATENATE("https://us.pandora.net/on/demandware.static/-/Sites-pandora-master-catalog/default/dwbb259ca6/productimages/singlepackshot/",LEFT(A3162,FIND("-",A3162&amp;"-")-1),"_RGB.png"))),"https://us.pandora.net/on/demandware.static/-/Sites-pandora-master-catalog/default/dwbb259ca6/productimages/singlepackshot/792751C01_RGB.png")</f>
        <v>https://us.pandora.net/on/demandware.static/-/Sites-pandora-master-catalog/default/dwbb259ca6/productimages/singlepackshot/792751C01_RGB.png</v>
      </c>
    </row>
    <row r="3163" spans="1:4" x14ac:dyDescent="0.25">
      <c r="A3163" s="3" t="s">
        <v>3165</v>
      </c>
      <c r="B3163" s="4">
        <v>55</v>
      </c>
      <c r="C3163" s="3" t="str">
        <f ca="1">IFERROR(ROWSDUMMYFUNCTION(IF(A3163="","",IFERROR(IMAGE(CONCATENATE("https://us.pandora.net/on/demandware.static/-/Sites-pandora-master-catalog/default/dwbb259ca6/productimages/singlepackshot/",LEFT(A3163,FIND("-",A3163&amp;"-")-1),"_RGB.png")),""))),"{""url"":""https://us.pandora.net/on/demandware.static/-/Sites-pandora-master-catalog/default/dwbb259ca6/productimages/singlepackshot/792752C01_RGB.png"",""mode"":1}")</f>
        <v>{"url":"https://us.pandora.net/on/demandware.static/-/Sites-pandora-master-catalog/default/dwbb259ca6/productimages/singlepackshot/792752C01_RGB.png","mode":1}</v>
      </c>
      <c r="D3163" s="5" t="str">
        <f ca="1">IFERROR(ROWSDUMMYFUNCTION(IF(A3163="","",CONCATENATE("https://us.pandora.net/on/demandware.static/-/Sites-pandora-master-catalog/default/dwbb259ca6/productimages/singlepackshot/",LEFT(A3163,FIND("-",A3163&amp;"-")-1),"_RGB.png"))),"https://us.pandora.net/on/demandware.static/-/Sites-pandora-master-catalog/default/dwbb259ca6/productimages/singlepackshot/792752C01_RGB.png")</f>
        <v>https://us.pandora.net/on/demandware.static/-/Sites-pandora-master-catalog/default/dwbb259ca6/productimages/singlepackshot/792752C01_RGB.png</v>
      </c>
    </row>
    <row r="3164" spans="1:4" x14ac:dyDescent="0.25">
      <c r="A3164" s="3" t="s">
        <v>3166</v>
      </c>
      <c r="B3164" s="4">
        <v>69</v>
      </c>
      <c r="C3164" s="3" t="str">
        <f ca="1">IFERROR(ROWSDUMMYFUNCTION(IF(A3164="","",IFERROR(IMAGE(CONCATENATE("https://us.pandora.net/on/demandware.static/-/Sites-pandora-master-catalog/default/dwbb259ca6/productimages/singlepackshot/",LEFT(A3164,FIND("-",A3164&amp;"-")-1),"_RGB.png")),""))),"{""url"":""https://us.pandora.net/on/demandware.static/-/Sites-pandora-master-catalog/default/dwbb259ca6/productimages/singlepackshot/792754C01_RGB.png"",""mode"":1}")</f>
        <v>{"url":"https://us.pandora.net/on/demandware.static/-/Sites-pandora-master-catalog/default/dwbb259ca6/productimages/singlepackshot/792754C01_RGB.png","mode":1}</v>
      </c>
      <c r="D3164" s="5" t="str">
        <f ca="1">IFERROR(ROWSDUMMYFUNCTION(IF(A3164="","",CONCATENATE("https://us.pandora.net/on/demandware.static/-/Sites-pandora-master-catalog/default/dwbb259ca6/productimages/singlepackshot/",LEFT(A3164,FIND("-",A3164&amp;"-")-1),"_RGB.png"))),"https://us.pandora.net/on/demandware.static/-/Sites-pandora-master-catalog/default/dwbb259ca6/productimages/singlepackshot/792754C01_RGB.png")</f>
        <v>https://us.pandora.net/on/demandware.static/-/Sites-pandora-master-catalog/default/dwbb259ca6/productimages/singlepackshot/792754C01_RGB.png</v>
      </c>
    </row>
    <row r="3165" spans="1:4" x14ac:dyDescent="0.25">
      <c r="A3165" s="3" t="s">
        <v>3167</v>
      </c>
      <c r="B3165" s="4">
        <v>65</v>
      </c>
      <c r="C3165" s="3" t="str">
        <f ca="1">IFERROR(ROWSDUMMYFUNCTION(IF(A3165="","",IFERROR(IMAGE(CONCATENATE("https://us.pandora.net/on/demandware.static/-/Sites-pandora-master-catalog/default/dwbb259ca6/productimages/singlepackshot/",LEFT(A3165,FIND("-",A3165&amp;"-")-1),"_RGB.png")),""))),"{""url"":""https://us.pandora.net/on/demandware.static/-/Sites-pandora-master-catalog/default/dwbb259ca6/productimages/singlepackshot/792755C01_RGB.png"",""mode"":1}")</f>
        <v>{"url":"https://us.pandora.net/on/demandware.static/-/Sites-pandora-master-catalog/default/dwbb259ca6/productimages/singlepackshot/792755C01_RGB.png","mode":1}</v>
      </c>
      <c r="D3165" s="5" t="str">
        <f ca="1">IFERROR(ROWSDUMMYFUNCTION(IF(A3165="","",CONCATENATE("https://us.pandora.net/on/demandware.static/-/Sites-pandora-master-catalog/default/dwbb259ca6/productimages/singlepackshot/",LEFT(A3165,FIND("-",A3165&amp;"-")-1),"_RGB.png"))),"https://us.pandora.net/on/demandware.static/-/Sites-pandora-master-catalog/default/dwbb259ca6/productimages/singlepackshot/792755C01_RGB.png")</f>
        <v>https://us.pandora.net/on/demandware.static/-/Sites-pandora-master-catalog/default/dwbb259ca6/productimages/singlepackshot/792755C01_RGB.png</v>
      </c>
    </row>
    <row r="3166" spans="1:4" x14ac:dyDescent="0.25">
      <c r="A3166" s="3" t="s">
        <v>3168</v>
      </c>
      <c r="B3166" s="4">
        <v>79</v>
      </c>
      <c r="C3166" s="3" t="str">
        <f ca="1">IFERROR(ROWSDUMMYFUNCTION(IF(A3166="","",IFERROR(IMAGE(CONCATENATE("https://us.pandora.net/on/demandware.static/-/Sites-pandora-master-catalog/default/dwbb259ca6/productimages/singlepackshot/",LEFT(A3166,FIND("-",A3166&amp;"-")-1),"_RGB.png")),""))),"{""url"":""https://us.pandora.net/on/demandware.static/-/Sites-pandora-master-catalog/default/dwbb259ca6/productimages/singlepackshot/792758C01_RGB.png"",""mode"":1}")</f>
        <v>{"url":"https://us.pandora.net/on/demandware.static/-/Sites-pandora-master-catalog/default/dwbb259ca6/productimages/singlepackshot/792758C01_RGB.png","mode":1}</v>
      </c>
      <c r="D3166" s="5" t="str">
        <f ca="1">IFERROR(ROWSDUMMYFUNCTION(IF(A3166="","",CONCATENATE("https://us.pandora.net/on/demandware.static/-/Sites-pandora-master-catalog/default/dwbb259ca6/productimages/singlepackshot/",LEFT(A3166,FIND("-",A3166&amp;"-")-1),"_RGB.png"))),"https://us.pandora.net/on/demandware.static/-/Sites-pandora-master-catalog/default/dwbb259ca6/productimages/singlepackshot/792758C01_RGB.png")</f>
        <v>https://us.pandora.net/on/demandware.static/-/Sites-pandora-master-catalog/default/dwbb259ca6/productimages/singlepackshot/792758C01_RGB.png</v>
      </c>
    </row>
    <row r="3167" spans="1:4" x14ac:dyDescent="0.25">
      <c r="A3167" s="3" t="s">
        <v>3169</v>
      </c>
      <c r="B3167" s="4">
        <v>29</v>
      </c>
      <c r="C3167" s="3" t="str">
        <f ca="1">IFERROR(ROWSDUMMYFUNCTION(IF(A3167="","",IFERROR(IMAGE(CONCATENATE("https://us.pandora.net/on/demandware.static/-/Sites-pandora-master-catalog/default/dwbb259ca6/productimages/singlepackshot/",LEFT(A3167,FIND("-",A3167&amp;"-")-1),"_RGB.png")),""))),"{""url"":""https://us.pandora.net/on/demandware.static/-/Sites-pandora-master-catalog/default/dwbb259ca6/productimages/singlepackshot/792766C01_RGB.png"",""mode"":1}")</f>
        <v>{"url":"https://us.pandora.net/on/demandware.static/-/Sites-pandora-master-catalog/default/dwbb259ca6/productimages/singlepackshot/792766C01_RGB.png","mode":1}</v>
      </c>
      <c r="D3167" s="5" t="str">
        <f ca="1">IFERROR(ROWSDUMMYFUNCTION(IF(A3167="","",CONCATENATE("https://us.pandora.net/on/demandware.static/-/Sites-pandora-master-catalog/default/dwbb259ca6/productimages/singlepackshot/",LEFT(A3167,FIND("-",A3167&amp;"-")-1),"_RGB.png"))),"https://us.pandora.net/on/demandware.static/-/Sites-pandora-master-catalog/default/dwbb259ca6/productimages/singlepackshot/792766C01_RGB.png")</f>
        <v>https://us.pandora.net/on/demandware.static/-/Sites-pandora-master-catalog/default/dwbb259ca6/productimages/singlepackshot/792766C01_RGB.png</v>
      </c>
    </row>
    <row r="3168" spans="1:4" x14ac:dyDescent="0.25">
      <c r="A3168" s="3" t="s">
        <v>3170</v>
      </c>
      <c r="B3168" s="4">
        <v>59</v>
      </c>
      <c r="C3168" s="3" t="str">
        <f ca="1">IFERROR(ROWSDUMMYFUNCTION(IF(A3168="","",IFERROR(IMAGE(CONCATENATE("https://us.pandora.net/on/demandware.static/-/Sites-pandora-master-catalog/default/dwbb259ca6/productimages/singlepackshot/",LEFT(A3168,FIND("-",A3168&amp;"-")-1),"_RGB.png")),""))),"{""url"":""https://us.pandora.net/on/demandware.static/-/Sites-pandora-master-catalog/default/dwbb259ca6/productimages/singlepackshot/792811C01_RGB.png"",""mode"":1}")</f>
        <v>{"url":"https://us.pandora.net/on/demandware.static/-/Sites-pandora-master-catalog/default/dwbb259ca6/productimages/singlepackshot/792811C01_RGB.png","mode":1}</v>
      </c>
      <c r="D3168" s="5" t="str">
        <f ca="1">IFERROR(ROWSDUMMYFUNCTION(IF(A3168="","",CONCATENATE("https://us.pandora.net/on/demandware.static/-/Sites-pandora-master-catalog/default/dwbb259ca6/productimages/singlepackshot/",LEFT(A3168,FIND("-",A3168&amp;"-")-1),"_RGB.png"))),"https://us.pandora.net/on/demandware.static/-/Sites-pandora-master-catalog/default/dwbb259ca6/productimages/singlepackshot/792811C01_RGB.png")</f>
        <v>https://us.pandora.net/on/demandware.static/-/Sites-pandora-master-catalog/default/dwbb259ca6/productimages/singlepackshot/792811C01_RGB.png</v>
      </c>
    </row>
    <row r="3169" spans="1:4" x14ac:dyDescent="0.25">
      <c r="A3169" s="3" t="s">
        <v>3171</v>
      </c>
      <c r="B3169" s="4">
        <v>69</v>
      </c>
      <c r="C3169" s="3" t="str">
        <f ca="1">IFERROR(ROWSDUMMYFUNCTION(IF(A3169="","",IFERROR(IMAGE(CONCATENATE("https://us.pandora.net/on/demandware.static/-/Sites-pandora-master-catalog/default/dwbb259ca6/productimages/singlepackshot/",LEFT(A3169,FIND("-",A3169&amp;"-")-1),"_RGB.png")),""))),"{""url"":""https://us.pandora.net/on/demandware.static/-/Sites-pandora-master-catalog/default/dwbb259ca6/productimages/singlepackshot/792817C01_RGB.png"",""mode"":1}")</f>
        <v>{"url":"https://us.pandora.net/on/demandware.static/-/Sites-pandora-master-catalog/default/dwbb259ca6/productimages/singlepackshot/792817C01_RGB.png","mode":1}</v>
      </c>
      <c r="D3169" s="5" t="str">
        <f ca="1">IFERROR(ROWSDUMMYFUNCTION(IF(A3169="","",CONCATENATE("https://us.pandora.net/on/demandware.static/-/Sites-pandora-master-catalog/default/dwbb259ca6/productimages/singlepackshot/",LEFT(A3169,FIND("-",A3169&amp;"-")-1),"_RGB.png"))),"https://us.pandora.net/on/demandware.static/-/Sites-pandora-master-catalog/default/dwbb259ca6/productimages/singlepackshot/792817C01_RGB.png")</f>
        <v>https://us.pandora.net/on/demandware.static/-/Sites-pandora-master-catalog/default/dwbb259ca6/productimages/singlepackshot/792817C01_RGB.png</v>
      </c>
    </row>
    <row r="3170" spans="1:4" x14ac:dyDescent="0.25">
      <c r="A3170" s="3" t="s">
        <v>3172</v>
      </c>
      <c r="B3170" s="4">
        <v>65</v>
      </c>
      <c r="C3170" s="3" t="str">
        <f ca="1">IFERROR(ROWSDUMMYFUNCTION(IF(A3170="","",IFERROR(IMAGE(CONCATENATE("https://us.pandora.net/on/demandware.static/-/Sites-pandora-master-catalog/default/dwbb259ca6/productimages/singlepackshot/",LEFT(A3170,FIND("-",A3170&amp;"-")-1),"_RGB.png")),""))),"{""url"":""https://us.pandora.net/on/demandware.static/-/Sites-pandora-master-catalog/default/dwbb259ca6/productimages/singlepackshot/792820C01_RGB.png"",""mode"":1}")</f>
        <v>{"url":"https://us.pandora.net/on/demandware.static/-/Sites-pandora-master-catalog/default/dwbb259ca6/productimages/singlepackshot/792820C01_RGB.png","mode":1}</v>
      </c>
      <c r="D3170" s="5" t="str">
        <f ca="1">IFERROR(ROWSDUMMYFUNCTION(IF(A3170="","",CONCATENATE("https://us.pandora.net/on/demandware.static/-/Sites-pandora-master-catalog/default/dwbb259ca6/productimages/singlepackshot/",LEFT(A3170,FIND("-",A3170&amp;"-")-1),"_RGB.png"))),"https://us.pandora.net/on/demandware.static/-/Sites-pandora-master-catalog/default/dwbb259ca6/productimages/singlepackshot/792820C01_RGB.png")</f>
        <v>https://us.pandora.net/on/demandware.static/-/Sites-pandora-master-catalog/default/dwbb259ca6/productimages/singlepackshot/792820C01_RGB.png</v>
      </c>
    </row>
    <row r="3171" spans="1:4" x14ac:dyDescent="0.25">
      <c r="A3171" s="3" t="s">
        <v>3173</v>
      </c>
      <c r="B3171" s="4">
        <v>65</v>
      </c>
      <c r="C3171" s="3" t="str">
        <f ca="1">IFERROR(ROWSDUMMYFUNCTION(IF(A3171="","",IFERROR(IMAGE(CONCATENATE("https://us.pandora.net/on/demandware.static/-/Sites-pandora-master-catalog/default/dwbb259ca6/productimages/singlepackshot/",LEFT(A3171,FIND("-",A3171&amp;"-")-1),"_RGB.png")),""))),"{""url"":""https://us.pandora.net/on/demandware.static/-/Sites-pandora-master-catalog/default/dwbb259ca6/productimages/singlepackshot/792821C01_RGB.png"",""mode"":1}")</f>
        <v>{"url":"https://us.pandora.net/on/demandware.static/-/Sites-pandora-master-catalog/default/dwbb259ca6/productimages/singlepackshot/792821C01_RGB.png","mode":1}</v>
      </c>
      <c r="D3171" s="5" t="str">
        <f ca="1">IFERROR(ROWSDUMMYFUNCTION(IF(A3171="","",CONCATENATE("https://us.pandora.net/on/demandware.static/-/Sites-pandora-master-catalog/default/dwbb259ca6/productimages/singlepackshot/",LEFT(A3171,FIND("-",A3171&amp;"-")-1),"_RGB.png"))),"https://us.pandora.net/on/demandware.static/-/Sites-pandora-master-catalog/default/dwbb259ca6/productimages/singlepackshot/792821C01_RGB.png")</f>
        <v>https://us.pandora.net/on/demandware.static/-/Sites-pandora-master-catalog/default/dwbb259ca6/productimages/singlepackshot/792821C01_RGB.png</v>
      </c>
    </row>
    <row r="3172" spans="1:4" x14ac:dyDescent="0.25">
      <c r="A3172" s="3" t="s">
        <v>3174</v>
      </c>
      <c r="B3172" s="4">
        <v>49</v>
      </c>
      <c r="C3172" s="3" t="str">
        <f ca="1">IFERROR(ROWSDUMMYFUNCTION(IF(A3172="","",IFERROR(IMAGE(CONCATENATE("https://us.pandora.net/on/demandware.static/-/Sites-pandora-master-catalog/default/dwbb259ca6/productimages/singlepackshot/",LEFT(A3172,FIND("-",A3172&amp;"-")-1),"_RGB.png")),""))),"{""url"":""https://us.pandora.net/on/demandware.static/-/Sites-pandora-master-catalog/default/dwbb259ca6/productimages/singlepackshot/792822C01_RGB.png"",""mode"":1}")</f>
        <v>{"url":"https://us.pandora.net/on/demandware.static/-/Sites-pandora-master-catalog/default/dwbb259ca6/productimages/singlepackshot/792822C01_RGB.png","mode":1}</v>
      </c>
      <c r="D3172" s="5" t="str">
        <f ca="1">IFERROR(ROWSDUMMYFUNCTION(IF(A3172="","",CONCATENATE("https://us.pandora.net/on/demandware.static/-/Sites-pandora-master-catalog/default/dwbb259ca6/productimages/singlepackshot/",LEFT(A3172,FIND("-",A3172&amp;"-")-1),"_RGB.png"))),"https://us.pandora.net/on/demandware.static/-/Sites-pandora-master-catalog/default/dwbb259ca6/productimages/singlepackshot/792822C01_RGB.png")</f>
        <v>https://us.pandora.net/on/demandware.static/-/Sites-pandora-master-catalog/default/dwbb259ca6/productimages/singlepackshot/792822C01_RGB.png</v>
      </c>
    </row>
    <row r="3173" spans="1:4" x14ac:dyDescent="0.25">
      <c r="A3173" s="3" t="s">
        <v>3175</v>
      </c>
      <c r="B3173" s="4">
        <v>29</v>
      </c>
      <c r="C3173" s="3" t="str">
        <f ca="1">IFERROR(ROWSDUMMYFUNCTION(IF(A3173="","",IFERROR(IMAGE(CONCATENATE("https://us.pandora.net/on/demandware.static/-/Sites-pandora-master-catalog/default/dwbb259ca6/productimages/singlepackshot/",LEFT(A3173,FIND("-",A3173&amp;"-")-1),"_RGB.png")),""))),"{""url"":""https://us.pandora.net/on/demandware.static/-/Sites-pandora-master-catalog/default/dwbb259ca6/productimages/singlepackshot/792828C00_RGB.png"",""mode"":1}")</f>
        <v>{"url":"https://us.pandora.net/on/demandware.static/-/Sites-pandora-master-catalog/default/dwbb259ca6/productimages/singlepackshot/792828C00_RGB.png","mode":1}</v>
      </c>
      <c r="D3173" s="5" t="str">
        <f ca="1">IFERROR(ROWSDUMMYFUNCTION(IF(A3173="","",CONCATENATE("https://us.pandora.net/on/demandware.static/-/Sites-pandora-master-catalog/default/dwbb259ca6/productimages/singlepackshot/",LEFT(A3173,FIND("-",A3173&amp;"-")-1),"_RGB.png"))),"https://us.pandora.net/on/demandware.static/-/Sites-pandora-master-catalog/default/dwbb259ca6/productimages/singlepackshot/792828C00_RGB.png")</f>
        <v>https://us.pandora.net/on/demandware.static/-/Sites-pandora-master-catalog/default/dwbb259ca6/productimages/singlepackshot/792828C00_RGB.png</v>
      </c>
    </row>
    <row r="3174" spans="1:4" x14ac:dyDescent="0.25">
      <c r="A3174" s="3" t="s">
        <v>3176</v>
      </c>
      <c r="B3174" s="4">
        <v>25</v>
      </c>
      <c r="C3174" s="3" t="str">
        <f ca="1">IFERROR(ROWSDUMMYFUNCTION(IF(A3174="","",IFERROR(IMAGE(CONCATENATE("https://us.pandora.net/on/demandware.static/-/Sites-pandora-master-catalog/default/dwbb259ca6/productimages/singlepackshot/",LEFT(A3174,FIND("-",A3174&amp;"-")-1),"_RGB.png")),""))),"{""url"":""https://us.pandora.net/on/demandware.static/-/Sites-pandora-master-catalog/default/dwbb259ca6/productimages/singlepackshot/792829C00_RGB.png"",""mode"":1}")</f>
        <v>{"url":"https://us.pandora.net/on/demandware.static/-/Sites-pandora-master-catalog/default/dwbb259ca6/productimages/singlepackshot/792829C00_RGB.png","mode":1}</v>
      </c>
      <c r="D3174" s="5" t="str">
        <f ca="1">IFERROR(ROWSDUMMYFUNCTION(IF(A3174="","",CONCATENATE("https://us.pandora.net/on/demandware.static/-/Sites-pandora-master-catalog/default/dwbb259ca6/productimages/singlepackshot/",LEFT(A3174,FIND("-",A3174&amp;"-")-1),"_RGB.png"))),"https://us.pandora.net/on/demandware.static/-/Sites-pandora-master-catalog/default/dwbb259ca6/productimages/singlepackshot/792829C00_RGB.png")</f>
        <v>https://us.pandora.net/on/demandware.static/-/Sites-pandora-master-catalog/default/dwbb259ca6/productimages/singlepackshot/792829C00_RGB.png</v>
      </c>
    </row>
    <row r="3175" spans="1:4" x14ac:dyDescent="0.25">
      <c r="A3175" s="3" t="s">
        <v>3177</v>
      </c>
      <c r="B3175" s="4">
        <v>55</v>
      </c>
      <c r="C3175" s="3" t="str">
        <f ca="1">IFERROR(ROWSDUMMYFUNCTION(IF(A3175="","",IFERROR(IMAGE(CONCATENATE("https://us.pandora.net/on/demandware.static/-/Sites-pandora-master-catalog/default/dwbb259ca6/productimages/singlepackshot/",LEFT(A3175,FIND("-",A3175&amp;"-")-1),"_RGB.png")),""))),"{""url"":""https://us.pandora.net/on/demandware.static/-/Sites-pandora-master-catalog/default/dwbb259ca6/productimages/singlepackshot/792831C01_RGB.png"",""mode"":1}")</f>
        <v>{"url":"https://us.pandora.net/on/demandware.static/-/Sites-pandora-master-catalog/default/dwbb259ca6/productimages/singlepackshot/792831C01_RGB.png","mode":1}</v>
      </c>
      <c r="D3175" s="5" t="str">
        <f ca="1">IFERROR(ROWSDUMMYFUNCTION(IF(A3175="","",CONCATENATE("https://us.pandora.net/on/demandware.static/-/Sites-pandora-master-catalog/default/dwbb259ca6/productimages/singlepackshot/",LEFT(A3175,FIND("-",A3175&amp;"-")-1),"_RGB.png"))),"https://us.pandora.net/on/demandware.static/-/Sites-pandora-master-catalog/default/dwbb259ca6/productimages/singlepackshot/792831C01_RGB.png")</f>
        <v>https://us.pandora.net/on/demandware.static/-/Sites-pandora-master-catalog/default/dwbb259ca6/productimages/singlepackshot/792831C01_RGB.png</v>
      </c>
    </row>
    <row r="3176" spans="1:4" x14ac:dyDescent="0.25">
      <c r="A3176" s="3" t="s">
        <v>3178</v>
      </c>
      <c r="B3176" s="4">
        <v>59</v>
      </c>
      <c r="C3176" s="3" t="str">
        <f ca="1">IFERROR(ROWSDUMMYFUNCTION(IF(A3176="","",IFERROR(IMAGE(CONCATENATE("https://us.pandora.net/on/demandware.static/-/Sites-pandora-master-catalog/default/dwbb259ca6/productimages/singlepackshot/",LEFT(A3176,FIND("-",A3176&amp;"-")-1),"_RGB.png")),""))),"{""url"":""https://us.pandora.net/on/demandware.static/-/Sites-pandora-master-catalog/default/dwbb259ca6/productimages/singlepackshot/792954C01_RGB.png"",""mode"":1}")</f>
        <v>{"url":"https://us.pandora.net/on/demandware.static/-/Sites-pandora-master-catalog/default/dwbb259ca6/productimages/singlepackshot/792954C01_RGB.png","mode":1}</v>
      </c>
      <c r="D3176" s="5" t="str">
        <f ca="1">IFERROR(ROWSDUMMYFUNCTION(IF(A3176="","",CONCATENATE("https://us.pandora.net/on/demandware.static/-/Sites-pandora-master-catalog/default/dwbb259ca6/productimages/singlepackshot/",LEFT(A3176,FIND("-",A3176&amp;"-")-1),"_RGB.png"))),"https://us.pandora.net/on/demandware.static/-/Sites-pandora-master-catalog/default/dwbb259ca6/productimages/singlepackshot/792954C01_RGB.png")</f>
        <v>https://us.pandora.net/on/demandware.static/-/Sites-pandora-master-catalog/default/dwbb259ca6/productimages/singlepackshot/792954C01_RGB.png</v>
      </c>
    </row>
    <row r="3177" spans="1:4" x14ac:dyDescent="0.25">
      <c r="A3177" s="3" t="s">
        <v>3179</v>
      </c>
      <c r="B3177" s="4">
        <v>45</v>
      </c>
      <c r="C3177" s="3" t="str">
        <f ca="1">IFERROR(ROWSDUMMYFUNCTION(IF(A3177="","",IFERROR(IMAGE(CONCATENATE("https://us.pandora.net/on/demandware.static/-/Sites-pandora-master-catalog/default/dwbb259ca6/productimages/singlepackshot/",LEFT(A3177,FIND("-",A3177&amp;"-")-1),"_RGB.png")),""))),"{""url"":""https://us.pandora.net/on/demandware.static/-/Sites-pandora-master-catalog/default/dwbb259ca6/productimages/singlepackshot/792974C01_RGB.png"",""mode"":1}")</f>
        <v>{"url":"https://us.pandora.net/on/demandware.static/-/Sites-pandora-master-catalog/default/dwbb259ca6/productimages/singlepackshot/792974C01_RGB.png","mode":1}</v>
      </c>
      <c r="D3177" s="5" t="str">
        <f ca="1">IFERROR(ROWSDUMMYFUNCTION(IF(A3177="","",CONCATENATE("https://us.pandora.net/on/demandware.static/-/Sites-pandora-master-catalog/default/dwbb259ca6/productimages/singlepackshot/",LEFT(A3177,FIND("-",A3177&amp;"-")-1),"_RGB.png"))),"https://us.pandora.net/on/demandware.static/-/Sites-pandora-master-catalog/default/dwbb259ca6/productimages/singlepackshot/792974C01_RGB.png")</f>
        <v>https://us.pandora.net/on/demandware.static/-/Sites-pandora-master-catalog/default/dwbb259ca6/productimages/singlepackshot/792974C01_RGB.png</v>
      </c>
    </row>
    <row r="3178" spans="1:4" x14ac:dyDescent="0.25">
      <c r="A3178" s="3" t="s">
        <v>3180</v>
      </c>
      <c r="B3178" s="4">
        <v>69</v>
      </c>
      <c r="C3178" s="3" t="str">
        <f ca="1">IFERROR(ROWSDUMMYFUNCTION(IF(A3178="","",IFERROR(IMAGE(CONCATENATE("https://us.pandora.net/on/demandware.static/-/Sites-pandora-master-catalog/default/dwbb259ca6/productimages/singlepackshot/",LEFT(A3178,FIND("-",A3178&amp;"-")-1),"_RGB.png")),""))),"{""url"":""https://us.pandora.net/on/demandware.static/-/Sites-pandora-master-catalog/default/dwbb259ca6/productimages/singlepackshot/792979C01_RGB.png"",""mode"":1}")</f>
        <v>{"url":"https://us.pandora.net/on/demandware.static/-/Sites-pandora-master-catalog/default/dwbb259ca6/productimages/singlepackshot/792979C01_RGB.png","mode":1}</v>
      </c>
      <c r="D3178" s="5" t="str">
        <f ca="1">IFERROR(ROWSDUMMYFUNCTION(IF(A3178="","",CONCATENATE("https://us.pandora.net/on/demandware.static/-/Sites-pandora-master-catalog/default/dwbb259ca6/productimages/singlepackshot/",LEFT(A3178,FIND("-",A3178&amp;"-")-1),"_RGB.png"))),"https://us.pandora.net/on/demandware.static/-/Sites-pandora-master-catalog/default/dwbb259ca6/productimages/singlepackshot/792979C01_RGB.png")</f>
        <v>https://us.pandora.net/on/demandware.static/-/Sites-pandora-master-catalog/default/dwbb259ca6/productimages/singlepackshot/792979C01_RGB.png</v>
      </c>
    </row>
    <row r="3179" spans="1:4" x14ac:dyDescent="0.25">
      <c r="A3179" s="3" t="s">
        <v>3181</v>
      </c>
      <c r="B3179" s="4">
        <v>65</v>
      </c>
      <c r="C3179" s="3" t="str">
        <f ca="1">IFERROR(ROWSDUMMYFUNCTION(IF(A3179="","",IFERROR(IMAGE(CONCATENATE("https://us.pandora.net/on/demandware.static/-/Sites-pandora-master-catalog/default/dwbb259ca6/productimages/singlepackshot/",LEFT(A3179,FIND("-",A3179&amp;"-")-1),"_RGB.png")),""))),"{""url"":""https://us.pandora.net/on/demandware.static/-/Sites-pandora-master-catalog/default/dwbb259ca6/productimages/singlepackshot/792980C01_RGB.png"",""mode"":1}")</f>
        <v>{"url":"https://us.pandora.net/on/demandware.static/-/Sites-pandora-master-catalog/default/dwbb259ca6/productimages/singlepackshot/792980C01_RGB.png","mode":1}</v>
      </c>
      <c r="D3179" s="5" t="str">
        <f ca="1">IFERROR(ROWSDUMMYFUNCTION(IF(A3179="","",CONCATENATE("https://us.pandora.net/on/demandware.static/-/Sites-pandora-master-catalog/default/dwbb259ca6/productimages/singlepackshot/",LEFT(A3179,FIND("-",A3179&amp;"-")-1),"_RGB.png"))),"https://us.pandora.net/on/demandware.static/-/Sites-pandora-master-catalog/default/dwbb259ca6/productimages/singlepackshot/792980C01_RGB.png")</f>
        <v>https://us.pandora.net/on/demandware.static/-/Sites-pandora-master-catalog/default/dwbb259ca6/productimages/singlepackshot/792980C01_RGB.png</v>
      </c>
    </row>
    <row r="3180" spans="1:4" x14ac:dyDescent="0.25">
      <c r="A3180" s="3" t="s">
        <v>3182</v>
      </c>
      <c r="B3180" s="4">
        <v>59</v>
      </c>
      <c r="C3180" s="3" t="str">
        <f ca="1">IFERROR(ROWSDUMMYFUNCTION(IF(A3180="","",IFERROR(IMAGE(CONCATENATE("https://us.pandora.net/on/demandware.static/-/Sites-pandora-master-catalog/default/dwbb259ca6/productimages/singlepackshot/",LEFT(A3180,FIND("-",A3180&amp;"-")-1),"_RGB.png")),""))),"{""url"":""https://us.pandora.net/on/demandware.static/-/Sites-pandora-master-catalog/default/dwbb259ca6/productimages/singlepackshot/792981C01_RGB.png"",""mode"":1}")</f>
        <v>{"url":"https://us.pandora.net/on/demandware.static/-/Sites-pandora-master-catalog/default/dwbb259ca6/productimages/singlepackshot/792981C01_RGB.png","mode":1}</v>
      </c>
      <c r="D3180" s="5" t="str">
        <f ca="1">IFERROR(ROWSDUMMYFUNCTION(IF(A3180="","",CONCATENATE("https://us.pandora.net/on/demandware.static/-/Sites-pandora-master-catalog/default/dwbb259ca6/productimages/singlepackshot/",LEFT(A3180,FIND("-",A3180&amp;"-")-1),"_RGB.png"))),"https://us.pandora.net/on/demandware.static/-/Sites-pandora-master-catalog/default/dwbb259ca6/productimages/singlepackshot/792981C01_RGB.png")</f>
        <v>https://us.pandora.net/on/demandware.static/-/Sites-pandora-master-catalog/default/dwbb259ca6/productimages/singlepackshot/792981C01_RGB.png</v>
      </c>
    </row>
    <row r="3181" spans="1:4" x14ac:dyDescent="0.25">
      <c r="A3181" s="3" t="s">
        <v>3183</v>
      </c>
      <c r="B3181" s="4">
        <v>49</v>
      </c>
      <c r="C3181" s="3" t="str">
        <f ca="1">IFERROR(ROWSDUMMYFUNCTION(IF(A3181="","",IFERROR(IMAGE(CONCATENATE("https://us.pandora.net/on/demandware.static/-/Sites-pandora-master-catalog/default/dwbb259ca6/productimages/singlepackshot/",LEFT(A3181,FIND("-",A3181&amp;"-")-1),"_RGB.png")),""))),"{""url"":""https://us.pandora.net/on/demandware.static/-/Sites-pandora-master-catalog/default/dwbb259ca6/productimages/singlepackshot/792983C01_RGB.png"",""mode"":1}")</f>
        <v>{"url":"https://us.pandora.net/on/demandware.static/-/Sites-pandora-master-catalog/default/dwbb259ca6/productimages/singlepackshot/792983C01_RGB.png","mode":1}</v>
      </c>
      <c r="D3181" s="5" t="str">
        <f ca="1">IFERROR(ROWSDUMMYFUNCTION(IF(A3181="","",CONCATENATE("https://us.pandora.net/on/demandware.static/-/Sites-pandora-master-catalog/default/dwbb259ca6/productimages/singlepackshot/",LEFT(A3181,FIND("-",A3181&amp;"-")-1),"_RGB.png"))),"https://us.pandora.net/on/demandware.static/-/Sites-pandora-master-catalog/default/dwbb259ca6/productimages/singlepackshot/792983C01_RGB.png")</f>
        <v>https://us.pandora.net/on/demandware.static/-/Sites-pandora-master-catalog/default/dwbb259ca6/productimages/singlepackshot/792983C01_RGB.png</v>
      </c>
    </row>
    <row r="3182" spans="1:4" x14ac:dyDescent="0.25">
      <c r="A3182" s="3" t="s">
        <v>3184</v>
      </c>
      <c r="B3182" s="4">
        <v>55</v>
      </c>
      <c r="C3182" s="3" t="str">
        <f ca="1">IFERROR(ROWSDUMMYFUNCTION(IF(A3182="","",IFERROR(IMAGE(CONCATENATE("https://us.pandora.net/on/demandware.static/-/Sites-pandora-master-catalog/default/dwbb259ca6/productimages/singlepackshot/",LEFT(A3182,FIND("-",A3182&amp;"-")-1),"_RGB.png")),""))),"{""url"":""https://us.pandora.net/on/demandware.static/-/Sites-pandora-master-catalog/default/dwbb259ca6/productimages/singlepackshot/792986C01_RGB.png"",""mode"":1}")</f>
        <v>{"url":"https://us.pandora.net/on/demandware.static/-/Sites-pandora-master-catalog/default/dwbb259ca6/productimages/singlepackshot/792986C01_RGB.png","mode":1}</v>
      </c>
      <c r="D3182" s="5" t="str">
        <f ca="1">IFERROR(ROWSDUMMYFUNCTION(IF(A3182="","",CONCATENATE("https://us.pandora.net/on/demandware.static/-/Sites-pandora-master-catalog/default/dwbb259ca6/productimages/singlepackshot/",LEFT(A3182,FIND("-",A3182&amp;"-")-1),"_RGB.png"))),"https://us.pandora.net/on/demandware.static/-/Sites-pandora-master-catalog/default/dwbb259ca6/productimages/singlepackshot/792986C01_RGB.png")</f>
        <v>https://us.pandora.net/on/demandware.static/-/Sites-pandora-master-catalog/default/dwbb259ca6/productimages/singlepackshot/792986C01_RGB.png</v>
      </c>
    </row>
    <row r="3183" spans="1:4" x14ac:dyDescent="0.25">
      <c r="A3183" s="3" t="s">
        <v>3185</v>
      </c>
      <c r="B3183" s="4">
        <v>55</v>
      </c>
      <c r="C3183" s="3" t="str">
        <f ca="1">IFERROR(ROWSDUMMYFUNCTION(IF(A3183="","",IFERROR(IMAGE(CONCATENATE("https://us.pandora.net/on/demandware.static/-/Sites-pandora-master-catalog/default/dwbb259ca6/productimages/singlepackshot/",LEFT(A3183,FIND("-",A3183&amp;"-")-1),"_RGB.png")),""))),"{""url"":""https://us.pandora.net/on/demandware.static/-/Sites-pandora-master-catalog/default/dwbb259ca6/productimages/singlepackshot/792987C01_RGB.png"",""mode"":1}")</f>
        <v>{"url":"https://us.pandora.net/on/demandware.static/-/Sites-pandora-master-catalog/default/dwbb259ca6/productimages/singlepackshot/792987C01_RGB.png","mode":1}</v>
      </c>
      <c r="D3183" s="5" t="str">
        <f ca="1">IFERROR(ROWSDUMMYFUNCTION(IF(A3183="","",CONCATENATE("https://us.pandora.net/on/demandware.static/-/Sites-pandora-master-catalog/default/dwbb259ca6/productimages/singlepackshot/",LEFT(A3183,FIND("-",A3183&amp;"-")-1),"_RGB.png"))),"https://us.pandora.net/on/demandware.static/-/Sites-pandora-master-catalog/default/dwbb259ca6/productimages/singlepackshot/792987C01_RGB.png")</f>
        <v>https://us.pandora.net/on/demandware.static/-/Sites-pandora-master-catalog/default/dwbb259ca6/productimages/singlepackshot/792987C01_RGB.png</v>
      </c>
    </row>
    <row r="3184" spans="1:4" x14ac:dyDescent="0.25">
      <c r="A3184" s="3" t="s">
        <v>3186</v>
      </c>
      <c r="B3184" s="4">
        <v>55</v>
      </c>
      <c r="C3184" s="3" t="str">
        <f ca="1">IFERROR(ROWSDUMMYFUNCTION(IF(A3184="","",IFERROR(IMAGE(CONCATENATE("https://us.pandora.net/on/demandware.static/-/Sites-pandora-master-catalog/default/dwbb259ca6/productimages/singlepackshot/",LEFT(A3184,FIND("-",A3184&amp;"-")-1),"_RGB.png")),""))),"{""url"":""https://us.pandora.net/on/demandware.static/-/Sites-pandora-master-catalog/default/dwbb259ca6/productimages/singlepackshot/792988C01_RGB.png"",""mode"":1}")</f>
        <v>{"url":"https://us.pandora.net/on/demandware.static/-/Sites-pandora-master-catalog/default/dwbb259ca6/productimages/singlepackshot/792988C01_RGB.png","mode":1}</v>
      </c>
      <c r="D3184" s="5" t="str">
        <f ca="1">IFERROR(ROWSDUMMYFUNCTION(IF(A3184="","",CONCATENATE("https://us.pandora.net/on/demandware.static/-/Sites-pandora-master-catalog/default/dwbb259ca6/productimages/singlepackshot/",LEFT(A3184,FIND("-",A3184&amp;"-")-1),"_RGB.png"))),"https://us.pandora.net/on/demandware.static/-/Sites-pandora-master-catalog/default/dwbb259ca6/productimages/singlepackshot/792988C01_RGB.png")</f>
        <v>https://us.pandora.net/on/demandware.static/-/Sites-pandora-master-catalog/default/dwbb259ca6/productimages/singlepackshot/792988C01_RGB.png</v>
      </c>
    </row>
    <row r="3185" spans="1:4" x14ac:dyDescent="0.25">
      <c r="A3185" s="3" t="s">
        <v>3187</v>
      </c>
      <c r="B3185" s="4">
        <v>59</v>
      </c>
      <c r="C3185" s="3" t="str">
        <f ca="1">IFERROR(ROWSDUMMYFUNCTION(IF(A3185="","",IFERROR(IMAGE(CONCATENATE("https://us.pandora.net/on/demandware.static/-/Sites-pandora-master-catalog/default/dwbb259ca6/productimages/singlepackshot/",LEFT(A3185,FIND("-",A3185&amp;"-")-1),"_RGB.png")),""))),"{""url"":""https://us.pandora.net/on/demandware.static/-/Sites-pandora-master-catalog/default/dwbb259ca6/productimages/singlepackshot/793031C01_RGB.png"",""mode"":1}")</f>
        <v>{"url":"https://us.pandora.net/on/demandware.static/-/Sites-pandora-master-catalog/default/dwbb259ca6/productimages/singlepackshot/793031C01_RGB.png","mode":1}</v>
      </c>
      <c r="D3185" s="5" t="str">
        <f ca="1">IFERROR(ROWSDUMMYFUNCTION(IF(A3185="","",CONCATENATE("https://us.pandora.net/on/demandware.static/-/Sites-pandora-master-catalog/default/dwbb259ca6/productimages/singlepackshot/",LEFT(A3185,FIND("-",A3185&amp;"-")-1),"_RGB.png"))),"https://us.pandora.net/on/demandware.static/-/Sites-pandora-master-catalog/default/dwbb259ca6/productimages/singlepackshot/793031C01_RGB.png")</f>
        <v>https://us.pandora.net/on/demandware.static/-/Sites-pandora-master-catalog/default/dwbb259ca6/productimages/singlepackshot/793031C01_RGB.png</v>
      </c>
    </row>
    <row r="3186" spans="1:4" x14ac:dyDescent="0.25">
      <c r="A3186" s="3" t="s">
        <v>3188</v>
      </c>
      <c r="B3186" s="4">
        <v>29</v>
      </c>
      <c r="C3186" s="3" t="str">
        <f ca="1">IFERROR(ROWSDUMMYFUNCTION(IF(A3186="","",IFERROR(IMAGE(CONCATENATE("https://us.pandora.net/on/demandware.static/-/Sites-pandora-master-catalog/default/dwbb259ca6/productimages/singlepackshot/",LEFT(A3186,FIND("-",A3186&amp;"-")-1),"_RGB.png")),""))),"{""url"":""https://us.pandora.net/on/demandware.static/-/Sites-pandora-master-catalog/default/dwbb259ca6/productimages/singlepackshot/793032C01_RGB.png"",""mode"":1}")</f>
        <v>{"url":"https://us.pandora.net/on/demandware.static/-/Sites-pandora-master-catalog/default/dwbb259ca6/productimages/singlepackshot/793032C01_RGB.png","mode":1}</v>
      </c>
      <c r="D3186" s="5" t="str">
        <f ca="1">IFERROR(ROWSDUMMYFUNCTION(IF(A3186="","",CONCATENATE("https://us.pandora.net/on/demandware.static/-/Sites-pandora-master-catalog/default/dwbb259ca6/productimages/singlepackshot/",LEFT(A3186,FIND("-",A3186&amp;"-")-1),"_RGB.png"))),"https://us.pandora.net/on/demandware.static/-/Sites-pandora-master-catalog/default/dwbb259ca6/productimages/singlepackshot/793032C01_RGB.png")</f>
        <v>https://us.pandora.net/on/demandware.static/-/Sites-pandora-master-catalog/default/dwbb259ca6/productimages/singlepackshot/793032C01_RGB.png</v>
      </c>
    </row>
    <row r="3187" spans="1:4" x14ac:dyDescent="0.25">
      <c r="A3187" s="3" t="s">
        <v>3189</v>
      </c>
      <c r="B3187" s="4">
        <v>25</v>
      </c>
      <c r="C3187" s="3" t="str">
        <f ca="1">IFERROR(ROWSDUMMYFUNCTION(IF(A3187="","",IFERROR(IMAGE(CONCATENATE("https://us.pandora.net/on/demandware.static/-/Sites-pandora-master-catalog/default/dwbb259ca6/productimages/singlepackshot/",LEFT(A3187,FIND("-",A3187&amp;"-")-1),"_RGB.png")),""))),"{""url"":""https://us.pandora.net/on/demandware.static/-/Sites-pandora-master-catalog/default/dwbb259ca6/productimages/singlepackshot/793033C00_RGB.png"",""mode"":1}")</f>
        <v>{"url":"https://us.pandora.net/on/demandware.static/-/Sites-pandora-master-catalog/default/dwbb259ca6/productimages/singlepackshot/793033C00_RGB.png","mode":1}</v>
      </c>
      <c r="D3187" s="5" t="str">
        <f ca="1">IFERROR(ROWSDUMMYFUNCTION(IF(A3187="","",CONCATENATE("https://us.pandora.net/on/demandware.static/-/Sites-pandora-master-catalog/default/dwbb259ca6/productimages/singlepackshot/",LEFT(A3187,FIND("-",A3187&amp;"-")-1),"_RGB.png"))),"https://us.pandora.net/on/demandware.static/-/Sites-pandora-master-catalog/default/dwbb259ca6/productimages/singlepackshot/793033C00_RGB.png")</f>
        <v>https://us.pandora.net/on/demandware.static/-/Sites-pandora-master-catalog/default/dwbb259ca6/productimages/singlepackshot/793033C00_RGB.png</v>
      </c>
    </row>
    <row r="3188" spans="1:4" x14ac:dyDescent="0.25">
      <c r="A3188" s="3" t="s">
        <v>3190</v>
      </c>
      <c r="B3188" s="4">
        <v>19</v>
      </c>
      <c r="C3188" s="3" t="str">
        <f ca="1">IFERROR(ROWSDUMMYFUNCTION(IF(A3188="","",IFERROR(IMAGE(CONCATENATE("https://us.pandora.net/on/demandware.static/-/Sites-pandora-master-catalog/default/dwbb259ca6/productimages/singlepackshot/",LEFT(A3188,FIND("-",A3188&amp;"-")-1),"_RGB.png")),""))),"{""url"":""https://us.pandora.net/on/demandware.static/-/Sites-pandora-master-catalog/default/dwbb259ca6/productimages/singlepackshot/793041C01_RGB.png"",""mode"":1}")</f>
        <v>{"url":"https://us.pandora.net/on/demandware.static/-/Sites-pandora-master-catalog/default/dwbb259ca6/productimages/singlepackshot/793041C01_RGB.png","mode":1}</v>
      </c>
      <c r="D3188" s="5" t="str">
        <f ca="1">IFERROR(ROWSDUMMYFUNCTION(IF(A3188="","",CONCATENATE("https://us.pandora.net/on/demandware.static/-/Sites-pandora-master-catalog/default/dwbb259ca6/productimages/singlepackshot/",LEFT(A3188,FIND("-",A3188&amp;"-")-1),"_RGB.png"))),"https://us.pandora.net/on/demandware.static/-/Sites-pandora-master-catalog/default/dwbb259ca6/productimages/singlepackshot/793041C01_RGB.png")</f>
        <v>https://us.pandora.net/on/demandware.static/-/Sites-pandora-master-catalog/default/dwbb259ca6/productimages/singlepackshot/793041C01_RGB.png</v>
      </c>
    </row>
    <row r="3189" spans="1:4" x14ac:dyDescent="0.25">
      <c r="A3189" s="3" t="s">
        <v>3191</v>
      </c>
      <c r="B3189" s="4">
        <v>29</v>
      </c>
      <c r="C3189" s="3" t="str">
        <f ca="1">IFERROR(ROWSDUMMYFUNCTION(IF(A3189="","",IFERROR(IMAGE(CONCATENATE("https://us.pandora.net/on/demandware.static/-/Sites-pandora-master-catalog/default/dwbb259ca6/productimages/singlepackshot/",LEFT(A3189,FIND("-",A3189&amp;"-")-1),"_RGB.png")),""))),"{""url"":""https://us.pandora.net/on/demandware.static/-/Sites-pandora-master-catalog/default/dwbb259ca6/productimages/singlepackshot/793042C01_RGB.png"",""mode"":1}")</f>
        <v>{"url":"https://us.pandora.net/on/demandware.static/-/Sites-pandora-master-catalog/default/dwbb259ca6/productimages/singlepackshot/793042C01_RGB.png","mode":1}</v>
      </c>
      <c r="D3189" s="5" t="str">
        <f ca="1">IFERROR(ROWSDUMMYFUNCTION(IF(A3189="","",CONCATENATE("https://us.pandora.net/on/demandware.static/-/Sites-pandora-master-catalog/default/dwbb259ca6/productimages/singlepackshot/",LEFT(A3189,FIND("-",A3189&amp;"-")-1),"_RGB.png"))),"https://us.pandora.net/on/demandware.static/-/Sites-pandora-master-catalog/default/dwbb259ca6/productimages/singlepackshot/793042C01_RGB.png")</f>
        <v>https://us.pandora.net/on/demandware.static/-/Sites-pandora-master-catalog/default/dwbb259ca6/productimages/singlepackshot/793042C01_RGB.png</v>
      </c>
    </row>
    <row r="3190" spans="1:4" x14ac:dyDescent="0.25">
      <c r="A3190" s="3" t="s">
        <v>3192</v>
      </c>
      <c r="B3190" s="4">
        <v>29</v>
      </c>
      <c r="C3190" s="3" t="str">
        <f ca="1">IFERROR(ROWSDUMMYFUNCTION(IF(A3190="","",IFERROR(IMAGE(CONCATENATE("https://us.pandora.net/on/demandware.static/-/Sites-pandora-master-catalog/default/dwbb259ca6/productimages/singlepackshot/",LEFT(A3190,FIND("-",A3190&amp;"-")-1),"_RGB.png")),""))),"{""url"":""https://us.pandora.net/on/demandware.static/-/Sites-pandora-master-catalog/default/dwbb259ca6/productimages/singlepackshot/793042C02_RGB.png"",""mode"":1}")</f>
        <v>{"url":"https://us.pandora.net/on/demandware.static/-/Sites-pandora-master-catalog/default/dwbb259ca6/productimages/singlepackshot/793042C02_RGB.png","mode":1}</v>
      </c>
      <c r="D3190" s="5" t="str">
        <f ca="1">IFERROR(ROWSDUMMYFUNCTION(IF(A3190="","",CONCATENATE("https://us.pandora.net/on/demandware.static/-/Sites-pandora-master-catalog/default/dwbb259ca6/productimages/singlepackshot/",LEFT(A3190,FIND("-",A3190&amp;"-")-1),"_RGB.png"))),"https://us.pandora.net/on/demandware.static/-/Sites-pandora-master-catalog/default/dwbb259ca6/productimages/singlepackshot/793042C02_RGB.png")</f>
        <v>https://us.pandora.net/on/demandware.static/-/Sites-pandora-master-catalog/default/dwbb259ca6/productimages/singlepackshot/793042C02_RGB.png</v>
      </c>
    </row>
    <row r="3191" spans="1:4" x14ac:dyDescent="0.25">
      <c r="A3191" s="3" t="s">
        <v>3193</v>
      </c>
      <c r="B3191" s="4">
        <v>29</v>
      </c>
      <c r="C3191" s="3" t="str">
        <f ca="1">IFERROR(ROWSDUMMYFUNCTION(IF(A3191="","",IFERROR(IMAGE(CONCATENATE("https://us.pandora.net/on/demandware.static/-/Sites-pandora-master-catalog/default/dwbb259ca6/productimages/singlepackshot/",LEFT(A3191,FIND("-",A3191&amp;"-")-1),"_RGB.png")),""))),"{""url"":""https://us.pandora.net/on/demandware.static/-/Sites-pandora-master-catalog/default/dwbb259ca6/productimages/singlepackshot/793042C03_RGB.png"",""mode"":1}")</f>
        <v>{"url":"https://us.pandora.net/on/demandware.static/-/Sites-pandora-master-catalog/default/dwbb259ca6/productimages/singlepackshot/793042C03_RGB.png","mode":1}</v>
      </c>
      <c r="D3191" s="5" t="str">
        <f ca="1">IFERROR(ROWSDUMMYFUNCTION(IF(A3191="","",CONCATENATE("https://us.pandora.net/on/demandware.static/-/Sites-pandora-master-catalog/default/dwbb259ca6/productimages/singlepackshot/",LEFT(A3191,FIND("-",A3191&amp;"-")-1),"_RGB.png"))),"https://us.pandora.net/on/demandware.static/-/Sites-pandora-master-catalog/default/dwbb259ca6/productimages/singlepackshot/793042C03_RGB.png")</f>
        <v>https://us.pandora.net/on/demandware.static/-/Sites-pandora-master-catalog/default/dwbb259ca6/productimages/singlepackshot/793042C03_RGB.png</v>
      </c>
    </row>
    <row r="3192" spans="1:4" x14ac:dyDescent="0.25">
      <c r="A3192" s="3" t="s">
        <v>3194</v>
      </c>
      <c r="B3192" s="4">
        <v>29</v>
      </c>
      <c r="C3192" s="3" t="str">
        <f ca="1">IFERROR(ROWSDUMMYFUNCTION(IF(A3192="","",IFERROR(IMAGE(CONCATENATE("https://us.pandora.net/on/demandware.static/-/Sites-pandora-master-catalog/default/dwbb259ca6/productimages/singlepackshot/",LEFT(A3192,FIND("-",A3192&amp;"-")-1),"_RGB.png")),""))),"{""url"":""https://us.pandora.net/on/demandware.static/-/Sites-pandora-master-catalog/default/dwbb259ca6/productimages/singlepackshot/793042C04_RGB.png"",""mode"":1}")</f>
        <v>{"url":"https://us.pandora.net/on/demandware.static/-/Sites-pandora-master-catalog/default/dwbb259ca6/productimages/singlepackshot/793042C04_RGB.png","mode":1}</v>
      </c>
      <c r="D3192" s="5" t="str">
        <f ca="1">IFERROR(ROWSDUMMYFUNCTION(IF(A3192="","",CONCATENATE("https://us.pandora.net/on/demandware.static/-/Sites-pandora-master-catalog/default/dwbb259ca6/productimages/singlepackshot/",LEFT(A3192,FIND("-",A3192&amp;"-")-1),"_RGB.png"))),"https://us.pandora.net/on/demandware.static/-/Sites-pandora-master-catalog/default/dwbb259ca6/productimages/singlepackshot/793042C04_RGB.png")</f>
        <v>https://us.pandora.net/on/demandware.static/-/Sites-pandora-master-catalog/default/dwbb259ca6/productimages/singlepackshot/793042C04_RGB.png</v>
      </c>
    </row>
    <row r="3193" spans="1:4" x14ac:dyDescent="0.25">
      <c r="A3193" s="3" t="s">
        <v>3195</v>
      </c>
      <c r="B3193" s="4">
        <v>19</v>
      </c>
      <c r="C3193" s="3" t="str">
        <f ca="1">IFERROR(ROWSDUMMYFUNCTION(IF(A3193="","",IFERROR(IMAGE(CONCATENATE("https://us.pandora.net/on/demandware.static/-/Sites-pandora-master-catalog/default/dwbb259ca6/productimages/singlepackshot/",LEFT(A3193,FIND("-",A3193&amp;"-")-1),"_RGB.png")),""))),"{""url"":""https://us.pandora.net/on/demandware.static/-/Sites-pandora-master-catalog/default/dwbb259ca6/productimages/singlepackshot/793044C01_RGB.png"",""mode"":1}")</f>
        <v>{"url":"https://us.pandora.net/on/demandware.static/-/Sites-pandora-master-catalog/default/dwbb259ca6/productimages/singlepackshot/793044C01_RGB.png","mode":1}</v>
      </c>
      <c r="D3193" s="5" t="str">
        <f ca="1">IFERROR(ROWSDUMMYFUNCTION(IF(A3193="","",CONCATENATE("https://us.pandora.net/on/demandware.static/-/Sites-pandora-master-catalog/default/dwbb259ca6/productimages/singlepackshot/",LEFT(A3193,FIND("-",A3193&amp;"-")-1),"_RGB.png"))),"https://us.pandora.net/on/demandware.static/-/Sites-pandora-master-catalog/default/dwbb259ca6/productimages/singlepackshot/793044C01_RGB.png")</f>
        <v>https://us.pandora.net/on/demandware.static/-/Sites-pandora-master-catalog/default/dwbb259ca6/productimages/singlepackshot/793044C01_RGB.png</v>
      </c>
    </row>
    <row r="3194" spans="1:4" x14ac:dyDescent="0.25">
      <c r="A3194" s="3" t="s">
        <v>3196</v>
      </c>
      <c r="B3194" s="4">
        <v>19</v>
      </c>
      <c r="C3194" s="3" t="str">
        <f ca="1">IFERROR(ROWSDUMMYFUNCTION(IF(A3194="","",IFERROR(IMAGE(CONCATENATE("https://us.pandora.net/on/demandware.static/-/Sites-pandora-master-catalog/default/dwbb259ca6/productimages/singlepackshot/",LEFT(A3194,FIND("-",A3194&amp;"-")-1),"_RGB.png")),""))),"{""url"":""https://us.pandora.net/on/demandware.static/-/Sites-pandora-master-catalog/default/dwbb259ca6/productimages/singlepackshot/793048C00_RGB.png"",""mode"":1}")</f>
        <v>{"url":"https://us.pandora.net/on/demandware.static/-/Sites-pandora-master-catalog/default/dwbb259ca6/productimages/singlepackshot/793048C00_RGB.png","mode":1}</v>
      </c>
      <c r="D3194" s="5" t="str">
        <f ca="1">IFERROR(ROWSDUMMYFUNCTION(IF(A3194="","",CONCATENATE("https://us.pandora.net/on/demandware.static/-/Sites-pandora-master-catalog/default/dwbb259ca6/productimages/singlepackshot/",LEFT(A3194,FIND("-",A3194&amp;"-")-1),"_RGB.png"))),"https://us.pandora.net/on/demandware.static/-/Sites-pandora-master-catalog/default/dwbb259ca6/productimages/singlepackshot/793048C00_RGB.png")</f>
        <v>https://us.pandora.net/on/demandware.static/-/Sites-pandora-master-catalog/default/dwbb259ca6/productimages/singlepackshot/793048C00_RGB.png</v>
      </c>
    </row>
    <row r="3195" spans="1:4" x14ac:dyDescent="0.25">
      <c r="A3195" s="3" t="s">
        <v>3197</v>
      </c>
      <c r="B3195" s="4">
        <v>29</v>
      </c>
      <c r="C3195" s="3" t="str">
        <f ca="1">IFERROR(ROWSDUMMYFUNCTION(IF(A3195="","",IFERROR(IMAGE(CONCATENATE("https://us.pandora.net/on/demandware.static/-/Sites-pandora-master-catalog/default/dwbb259ca6/productimages/singlepackshot/",LEFT(A3195,FIND("-",A3195&amp;"-")-1),"_RGB.png")),""))),"{""url"":""https://us.pandora.net/on/demandware.static/-/Sites-pandora-master-catalog/default/dwbb259ca6/productimages/singlepackshot/793055C00_RGB.png"",""mode"":1}")</f>
        <v>{"url":"https://us.pandora.net/on/demandware.static/-/Sites-pandora-master-catalog/default/dwbb259ca6/productimages/singlepackshot/793055C00_RGB.png","mode":1}</v>
      </c>
      <c r="D3195" s="5" t="str">
        <f ca="1">IFERROR(ROWSDUMMYFUNCTION(IF(A3195="","",CONCATENATE("https://us.pandora.net/on/demandware.static/-/Sites-pandora-master-catalog/default/dwbb259ca6/productimages/singlepackshot/",LEFT(A3195,FIND("-",A3195&amp;"-")-1),"_RGB.png"))),"https://us.pandora.net/on/demandware.static/-/Sites-pandora-master-catalog/default/dwbb259ca6/productimages/singlepackshot/793055C00_RGB.png")</f>
        <v>https://us.pandora.net/on/demandware.static/-/Sites-pandora-master-catalog/default/dwbb259ca6/productimages/singlepackshot/793055C00_RGB.png</v>
      </c>
    </row>
    <row r="3196" spans="1:4" x14ac:dyDescent="0.25">
      <c r="A3196" s="3" t="s">
        <v>3198</v>
      </c>
      <c r="B3196" s="4">
        <v>59</v>
      </c>
      <c r="C3196" s="3" t="str">
        <f ca="1">IFERROR(ROWSDUMMYFUNCTION(IF(A3196="","",IFERROR(IMAGE(CONCATENATE("https://us.pandora.net/on/demandware.static/-/Sites-pandora-master-catalog/default/dwbb259ca6/productimages/singlepackshot/",LEFT(A3196,FIND("-",A3196&amp;"-")-1),"_RGB.png")),""))),"{""url"":""https://us.pandora.net/on/demandware.static/-/Sites-pandora-master-catalog/default/dwbb259ca6/productimages/singlepackshot/793066C01_RGB.png"",""mode"":1}")</f>
        <v>{"url":"https://us.pandora.net/on/demandware.static/-/Sites-pandora-master-catalog/default/dwbb259ca6/productimages/singlepackshot/793066C01_RGB.png","mode":1}</v>
      </c>
      <c r="D3196" s="5" t="str">
        <f ca="1">IFERROR(ROWSDUMMYFUNCTION(IF(A3196="","",CONCATENATE("https://us.pandora.net/on/demandware.static/-/Sites-pandora-master-catalog/default/dwbb259ca6/productimages/singlepackshot/",LEFT(A3196,FIND("-",A3196&amp;"-")-1),"_RGB.png"))),"https://us.pandora.net/on/demandware.static/-/Sites-pandora-master-catalog/default/dwbb259ca6/productimages/singlepackshot/793066C01_RGB.png")</f>
        <v>https://us.pandora.net/on/demandware.static/-/Sites-pandora-master-catalog/default/dwbb259ca6/productimages/singlepackshot/793066C01_RGB.png</v>
      </c>
    </row>
    <row r="3197" spans="1:4" x14ac:dyDescent="0.25">
      <c r="A3197" s="3" t="s">
        <v>3199</v>
      </c>
      <c r="B3197" s="4">
        <v>59</v>
      </c>
      <c r="C3197" s="3" t="str">
        <f ca="1">IFERROR(ROWSDUMMYFUNCTION(IF(A3197="","",IFERROR(IMAGE(CONCATENATE("https://us.pandora.net/on/demandware.static/-/Sites-pandora-master-catalog/default/dwbb259ca6/productimages/singlepackshot/",LEFT(A3197,FIND("-",A3197&amp;"-")-1),"_RGB.png")),""))),"{""url"":""https://us.pandora.net/on/demandware.static/-/Sites-pandora-master-catalog/default/dwbb259ca6/productimages/singlepackshot/793071C01_RGB.png"",""mode"":1}")</f>
        <v>{"url":"https://us.pandora.net/on/demandware.static/-/Sites-pandora-master-catalog/default/dwbb259ca6/productimages/singlepackshot/793071C01_RGB.png","mode":1}</v>
      </c>
      <c r="D3197" s="5" t="str">
        <f ca="1">IFERROR(ROWSDUMMYFUNCTION(IF(A3197="","",CONCATENATE("https://us.pandora.net/on/demandware.static/-/Sites-pandora-master-catalog/default/dwbb259ca6/productimages/singlepackshot/",LEFT(A3197,FIND("-",A3197&amp;"-")-1),"_RGB.png"))),"https://us.pandora.net/on/demandware.static/-/Sites-pandora-master-catalog/default/dwbb259ca6/productimages/singlepackshot/793071C01_RGB.png")</f>
        <v>https://us.pandora.net/on/demandware.static/-/Sites-pandora-master-catalog/default/dwbb259ca6/productimages/singlepackshot/793071C01_RGB.png</v>
      </c>
    </row>
    <row r="3198" spans="1:4" x14ac:dyDescent="0.25">
      <c r="A3198" s="3" t="s">
        <v>3200</v>
      </c>
      <c r="B3198" s="4">
        <v>19</v>
      </c>
      <c r="C3198" s="3" t="str">
        <f ca="1">IFERROR(ROWSDUMMYFUNCTION(IF(A3198="","",IFERROR(IMAGE(CONCATENATE("https://us.pandora.net/on/demandware.static/-/Sites-pandora-master-catalog/default/dwbb259ca6/productimages/singlepackshot/",LEFT(A3198,FIND("-",A3198&amp;"-")-1),"_RGB.png")),""))),"{""url"":""https://us.pandora.net/on/demandware.static/-/Sites-pandora-master-catalog/default/dwbb259ca6/productimages/singlepackshot/793084C00_RGB.png"",""mode"":1}")</f>
        <v>{"url":"https://us.pandora.net/on/demandware.static/-/Sites-pandora-master-catalog/default/dwbb259ca6/productimages/singlepackshot/793084C00_RGB.png","mode":1}</v>
      </c>
      <c r="D3198" s="5" t="str">
        <f ca="1">IFERROR(ROWSDUMMYFUNCTION(IF(A3198="","",CONCATENATE("https://us.pandora.net/on/demandware.static/-/Sites-pandora-master-catalog/default/dwbb259ca6/productimages/singlepackshot/",LEFT(A3198,FIND("-",A3198&amp;"-")-1),"_RGB.png"))),"https://us.pandora.net/on/demandware.static/-/Sites-pandora-master-catalog/default/dwbb259ca6/productimages/singlepackshot/793084C00_RGB.png")</f>
        <v>https://us.pandora.net/on/demandware.static/-/Sites-pandora-master-catalog/default/dwbb259ca6/productimages/singlepackshot/793084C00_RGB.png</v>
      </c>
    </row>
    <row r="3199" spans="1:4" x14ac:dyDescent="0.25">
      <c r="A3199" s="3" t="s">
        <v>3201</v>
      </c>
      <c r="B3199" s="4">
        <v>69</v>
      </c>
      <c r="C3199" s="3" t="str">
        <f ca="1">IFERROR(ROWSDUMMYFUNCTION(IF(A3199="","",IFERROR(IMAGE(CONCATENATE("https://us.pandora.net/on/demandware.static/-/Sites-pandora-master-catalog/default/dwbb259ca6/productimages/singlepackshot/",LEFT(A3199,FIND("-",A3199&amp;"-")-1),"_RGB.png")),""))),"{""url"":""https://us.pandora.net/on/demandware.static/-/Sites-pandora-master-catalog/default/dwbb259ca6/productimages/singlepackshot/793085C01_RGB.png"",""mode"":1}")</f>
        <v>{"url":"https://us.pandora.net/on/demandware.static/-/Sites-pandora-master-catalog/default/dwbb259ca6/productimages/singlepackshot/793085C01_RGB.png","mode":1}</v>
      </c>
      <c r="D3199" s="5" t="str">
        <f ca="1">IFERROR(ROWSDUMMYFUNCTION(IF(A3199="","",CONCATENATE("https://us.pandora.net/on/demandware.static/-/Sites-pandora-master-catalog/default/dwbb259ca6/productimages/singlepackshot/",LEFT(A3199,FIND("-",A3199&amp;"-")-1),"_RGB.png"))),"https://us.pandora.net/on/demandware.static/-/Sites-pandora-master-catalog/default/dwbb259ca6/productimages/singlepackshot/793085C01_RGB.png")</f>
        <v>https://us.pandora.net/on/demandware.static/-/Sites-pandora-master-catalog/default/dwbb259ca6/productimages/singlepackshot/793085C01_RGB.png</v>
      </c>
    </row>
    <row r="3200" spans="1:4" x14ac:dyDescent="0.25">
      <c r="A3200" s="3" t="s">
        <v>3202</v>
      </c>
      <c r="B3200" s="4">
        <v>29</v>
      </c>
      <c r="C3200" s="3" t="str">
        <f ca="1">IFERROR(ROWSDUMMYFUNCTION(IF(A3200="","",IFERROR(IMAGE(CONCATENATE("https://us.pandora.net/on/demandware.static/-/Sites-pandora-master-catalog/default/dwbb259ca6/productimages/singlepackshot/",LEFT(A3200,FIND("-",A3200&amp;"-")-1),"_RGB.png")),""))),"{""url"":""https://us.pandora.net/on/demandware.static/-/Sites-pandora-master-catalog/default/dwbb259ca6/productimages/singlepackshot/793086C01_RGB.png"",""mode"":1}")</f>
        <v>{"url":"https://us.pandora.net/on/demandware.static/-/Sites-pandora-master-catalog/default/dwbb259ca6/productimages/singlepackshot/793086C01_RGB.png","mode":1}</v>
      </c>
      <c r="D3200" s="5" t="str">
        <f ca="1">IFERROR(ROWSDUMMYFUNCTION(IF(A3200="","",CONCATENATE("https://us.pandora.net/on/demandware.static/-/Sites-pandora-master-catalog/default/dwbb259ca6/productimages/singlepackshot/",LEFT(A3200,FIND("-",A3200&amp;"-")-1),"_RGB.png"))),"https://us.pandora.net/on/demandware.static/-/Sites-pandora-master-catalog/default/dwbb259ca6/productimages/singlepackshot/793086C01_RGB.png")</f>
        <v>https://us.pandora.net/on/demandware.static/-/Sites-pandora-master-catalog/default/dwbb259ca6/productimages/singlepackshot/793086C01_RGB.png</v>
      </c>
    </row>
    <row r="3201" spans="1:4" x14ac:dyDescent="0.25">
      <c r="A3201" s="3" t="s">
        <v>3203</v>
      </c>
      <c r="B3201" s="4">
        <v>55</v>
      </c>
      <c r="C3201" s="3" t="str">
        <f ca="1">IFERROR(ROWSDUMMYFUNCTION(IF(A3201="","",IFERROR(IMAGE(CONCATENATE("https://us.pandora.net/on/demandware.static/-/Sites-pandora-master-catalog/default/dwbb259ca6/productimages/singlepackshot/",LEFT(A3201,FIND("-",A3201&amp;"-")-1),"_RGB.png")),""))),"{""url"":""https://us.pandora.net/on/demandware.static/-/Sites-pandora-master-catalog/default/dwbb259ca6/productimages/singlepackshot/793087C01_RGB.png"",""mode"":1}")</f>
        <v>{"url":"https://us.pandora.net/on/demandware.static/-/Sites-pandora-master-catalog/default/dwbb259ca6/productimages/singlepackshot/793087C01_RGB.png","mode":1}</v>
      </c>
      <c r="D3201" s="5" t="str">
        <f ca="1">IFERROR(ROWSDUMMYFUNCTION(IF(A3201="","",CONCATENATE("https://us.pandora.net/on/demandware.static/-/Sites-pandora-master-catalog/default/dwbb259ca6/productimages/singlepackshot/",LEFT(A3201,FIND("-",A3201&amp;"-")-1),"_RGB.png"))),"https://us.pandora.net/on/demandware.static/-/Sites-pandora-master-catalog/default/dwbb259ca6/productimages/singlepackshot/793087C01_RGB.png")</f>
        <v>https://us.pandora.net/on/demandware.static/-/Sites-pandora-master-catalog/default/dwbb259ca6/productimages/singlepackshot/793087C01_RGB.png</v>
      </c>
    </row>
    <row r="3202" spans="1:4" x14ac:dyDescent="0.25">
      <c r="A3202" s="3" t="s">
        <v>3204</v>
      </c>
      <c r="B3202" s="4">
        <v>25</v>
      </c>
      <c r="C3202" s="3" t="str">
        <f ca="1">IFERROR(ROWSDUMMYFUNCTION(IF(A3202="","",IFERROR(IMAGE(CONCATENATE("https://us.pandora.net/on/demandware.static/-/Sites-pandora-master-catalog/default/dwbb259ca6/productimages/singlepackshot/",LEFT(A3202,FIND("-",A3202&amp;"-")-1),"_RGB.png")),""))),"{""url"":""https://us.pandora.net/on/demandware.static/-/Sites-pandora-master-catalog/default/dwbb259ca6/productimages/singlepackshot/793105C00_RGB.png"",""mode"":1}")</f>
        <v>{"url":"https://us.pandora.net/on/demandware.static/-/Sites-pandora-master-catalog/default/dwbb259ca6/productimages/singlepackshot/793105C00_RGB.png","mode":1}</v>
      </c>
      <c r="D3202" s="5" t="str">
        <f ca="1">IFERROR(ROWSDUMMYFUNCTION(IF(A3202="","",CONCATENATE("https://us.pandora.net/on/demandware.static/-/Sites-pandora-master-catalog/default/dwbb259ca6/productimages/singlepackshot/",LEFT(A3202,FIND("-",A3202&amp;"-")-1),"_RGB.png"))),"https://us.pandora.net/on/demandware.static/-/Sites-pandora-master-catalog/default/dwbb259ca6/productimages/singlepackshot/793105C00_RGB.png")</f>
        <v>https://us.pandora.net/on/demandware.static/-/Sites-pandora-master-catalog/default/dwbb259ca6/productimages/singlepackshot/793105C00_RGB.png</v>
      </c>
    </row>
    <row r="3203" spans="1:4" x14ac:dyDescent="0.25">
      <c r="A3203" s="3" t="s">
        <v>3205</v>
      </c>
      <c r="B3203" s="4">
        <v>25</v>
      </c>
      <c r="C3203" s="3" t="str">
        <f ca="1">IFERROR(ROWSDUMMYFUNCTION(IF(A3203="","",IFERROR(IMAGE(CONCATENATE("https://us.pandora.net/on/demandware.static/-/Sites-pandora-master-catalog/default/dwbb259ca6/productimages/singlepackshot/",LEFT(A3203,FIND("-",A3203&amp;"-")-1),"_RGB.png")),""))),"{""url"":""https://us.pandora.net/on/demandware.static/-/Sites-pandora-master-catalog/default/dwbb259ca6/productimages/singlepackshot/793106C00_RGB.png"",""mode"":1}")</f>
        <v>{"url":"https://us.pandora.net/on/demandware.static/-/Sites-pandora-master-catalog/default/dwbb259ca6/productimages/singlepackshot/793106C00_RGB.png","mode":1}</v>
      </c>
      <c r="D3203" s="5" t="str">
        <f ca="1">IFERROR(ROWSDUMMYFUNCTION(IF(A3203="","",CONCATENATE("https://us.pandora.net/on/demandware.static/-/Sites-pandora-master-catalog/default/dwbb259ca6/productimages/singlepackshot/",LEFT(A3203,FIND("-",A3203&amp;"-")-1),"_RGB.png"))),"https://us.pandora.net/on/demandware.static/-/Sites-pandora-master-catalog/default/dwbb259ca6/productimages/singlepackshot/793106C00_RGB.png")</f>
        <v>https://us.pandora.net/on/demandware.static/-/Sites-pandora-master-catalog/default/dwbb259ca6/productimages/singlepackshot/793106C00_RGB.png</v>
      </c>
    </row>
    <row r="3204" spans="1:4" x14ac:dyDescent="0.25">
      <c r="A3204" s="3" t="s">
        <v>3206</v>
      </c>
      <c r="B3204" s="4">
        <v>25</v>
      </c>
      <c r="C3204" s="3" t="str">
        <f ca="1">IFERROR(ROWSDUMMYFUNCTION(IF(A3204="","",IFERROR(IMAGE(CONCATENATE("https://us.pandora.net/on/demandware.static/-/Sites-pandora-master-catalog/default/dwbb259ca6/productimages/singlepackshot/",LEFT(A3204,FIND("-",A3204&amp;"-")-1),"_RGB.png")),""))),"{""url"":""https://us.pandora.net/on/demandware.static/-/Sites-pandora-master-catalog/default/dwbb259ca6/productimages/singlepackshot/793107C00_RGB.png"",""mode"":1}")</f>
        <v>{"url":"https://us.pandora.net/on/demandware.static/-/Sites-pandora-master-catalog/default/dwbb259ca6/productimages/singlepackshot/793107C00_RGB.png","mode":1}</v>
      </c>
      <c r="D3204" s="5" t="str">
        <f ca="1">IFERROR(ROWSDUMMYFUNCTION(IF(A3204="","",CONCATENATE("https://us.pandora.net/on/demandware.static/-/Sites-pandora-master-catalog/default/dwbb259ca6/productimages/singlepackshot/",LEFT(A3204,FIND("-",A3204&amp;"-")-1),"_RGB.png"))),"https://us.pandora.net/on/demandware.static/-/Sites-pandora-master-catalog/default/dwbb259ca6/productimages/singlepackshot/793107C00_RGB.png")</f>
        <v>https://us.pandora.net/on/demandware.static/-/Sites-pandora-master-catalog/default/dwbb259ca6/productimages/singlepackshot/793107C00_RGB.png</v>
      </c>
    </row>
    <row r="3205" spans="1:4" x14ac:dyDescent="0.25">
      <c r="A3205" s="3" t="s">
        <v>3207</v>
      </c>
      <c r="B3205" s="4">
        <v>35</v>
      </c>
      <c r="C3205" s="3" t="str">
        <f ca="1">IFERROR(ROWSDUMMYFUNCTION(IF(A3205="","",IFERROR(IMAGE(CONCATENATE("https://us.pandora.net/on/demandware.static/-/Sites-pandora-master-catalog/default/dwbb259ca6/productimages/singlepackshot/",LEFT(A3205,FIND("-",A3205&amp;"-")-1),"_RGB.png")),""))),"{""url"":""https://us.pandora.net/on/demandware.static/-/Sites-pandora-master-catalog/default/dwbb259ca6/productimages/singlepackshot/793108C01_RGB.png"",""mode"":1}")</f>
        <v>{"url":"https://us.pandora.net/on/demandware.static/-/Sites-pandora-master-catalog/default/dwbb259ca6/productimages/singlepackshot/793108C01_RGB.png","mode":1}</v>
      </c>
      <c r="D3205" s="5" t="str">
        <f ca="1">IFERROR(ROWSDUMMYFUNCTION(IF(A3205="","",CONCATENATE("https://us.pandora.net/on/demandware.static/-/Sites-pandora-master-catalog/default/dwbb259ca6/productimages/singlepackshot/",LEFT(A3205,FIND("-",A3205&amp;"-")-1),"_RGB.png"))),"https://us.pandora.net/on/demandware.static/-/Sites-pandora-master-catalog/default/dwbb259ca6/productimages/singlepackshot/793108C01_RGB.png")</f>
        <v>https://us.pandora.net/on/demandware.static/-/Sites-pandora-master-catalog/default/dwbb259ca6/productimages/singlepackshot/793108C01_RGB.png</v>
      </c>
    </row>
    <row r="3206" spans="1:4" x14ac:dyDescent="0.25">
      <c r="A3206" s="3" t="s">
        <v>3208</v>
      </c>
      <c r="B3206" s="4">
        <v>25</v>
      </c>
      <c r="C3206" s="3" t="str">
        <f ca="1">IFERROR(ROWSDUMMYFUNCTION(IF(A3206="","",IFERROR(IMAGE(CONCATENATE("https://us.pandora.net/on/demandware.static/-/Sites-pandora-master-catalog/default/dwbb259ca6/productimages/singlepackshot/",LEFT(A3206,FIND("-",A3206&amp;"-")-1),"_RGB.png")),""))),"{""url"":""https://us.pandora.net/on/demandware.static/-/Sites-pandora-master-catalog/default/dwbb259ca6/productimages/singlepackshot/793117C00_RGB.png"",""mode"":1}")</f>
        <v>{"url":"https://us.pandora.net/on/demandware.static/-/Sites-pandora-master-catalog/default/dwbb259ca6/productimages/singlepackshot/793117C00_RGB.png","mode":1}</v>
      </c>
      <c r="D3206" s="5" t="str">
        <f ca="1">IFERROR(ROWSDUMMYFUNCTION(IF(A3206="","",CONCATENATE("https://us.pandora.net/on/demandware.static/-/Sites-pandora-master-catalog/default/dwbb259ca6/productimages/singlepackshot/",LEFT(A3206,FIND("-",A3206&amp;"-")-1),"_RGB.png"))),"https://us.pandora.net/on/demandware.static/-/Sites-pandora-master-catalog/default/dwbb259ca6/productimages/singlepackshot/793117C00_RGB.png")</f>
        <v>https://us.pandora.net/on/demandware.static/-/Sites-pandora-master-catalog/default/dwbb259ca6/productimages/singlepackshot/793117C00_RGB.png</v>
      </c>
    </row>
    <row r="3207" spans="1:4" x14ac:dyDescent="0.25">
      <c r="A3207" s="3" t="s">
        <v>3209</v>
      </c>
      <c r="B3207" s="4">
        <v>25</v>
      </c>
      <c r="C3207" s="3" t="str">
        <f ca="1">IFERROR(ROWSDUMMYFUNCTION(IF(A3207="","",IFERROR(IMAGE(CONCATENATE("https://us.pandora.net/on/demandware.static/-/Sites-pandora-master-catalog/default/dwbb259ca6/productimages/singlepackshot/",LEFT(A3207,FIND("-",A3207&amp;"-")-1),"_RGB.png")),""))),"{""url"":""https://us.pandora.net/on/demandware.static/-/Sites-pandora-master-catalog/default/dwbb259ca6/productimages/singlepackshot/793118C00_RGB.png"",""mode"":1}")</f>
        <v>{"url":"https://us.pandora.net/on/demandware.static/-/Sites-pandora-master-catalog/default/dwbb259ca6/productimages/singlepackshot/793118C00_RGB.png","mode":1}</v>
      </c>
      <c r="D3207" s="5" t="str">
        <f ca="1">IFERROR(ROWSDUMMYFUNCTION(IF(A3207="","",CONCATENATE("https://us.pandora.net/on/demandware.static/-/Sites-pandora-master-catalog/default/dwbb259ca6/productimages/singlepackshot/",LEFT(A3207,FIND("-",A3207&amp;"-")-1),"_RGB.png"))),"https://us.pandora.net/on/demandware.static/-/Sites-pandora-master-catalog/default/dwbb259ca6/productimages/singlepackshot/793118C00_RGB.png")</f>
        <v>https://us.pandora.net/on/demandware.static/-/Sites-pandora-master-catalog/default/dwbb259ca6/productimages/singlepackshot/793118C00_RGB.png</v>
      </c>
    </row>
    <row r="3208" spans="1:4" x14ac:dyDescent="0.25">
      <c r="A3208" s="3" t="s">
        <v>3210</v>
      </c>
      <c r="B3208" s="4">
        <v>65</v>
      </c>
      <c r="C3208" s="3" t="str">
        <f ca="1">IFERROR(ROWSDUMMYFUNCTION(IF(A3208="","",IFERROR(IMAGE(CONCATENATE("https://us.pandora.net/on/demandware.static/-/Sites-pandora-master-catalog/default/dwbb259ca6/productimages/singlepackshot/",LEFT(A3208,FIND("-",A3208&amp;"-")-1),"_RGB.png")),""))),"{""url"":""https://us.pandora.net/on/demandware.static/-/Sites-pandora-master-catalog/default/dwbb259ca6/productimages/singlepackshot/793119C01_RGB.png"",""mode"":1}")</f>
        <v>{"url":"https://us.pandora.net/on/demandware.static/-/Sites-pandora-master-catalog/default/dwbb259ca6/productimages/singlepackshot/793119C01_RGB.png","mode":1}</v>
      </c>
      <c r="D3208" s="5" t="str">
        <f ca="1">IFERROR(ROWSDUMMYFUNCTION(IF(A3208="","",CONCATENATE("https://us.pandora.net/on/demandware.static/-/Sites-pandora-master-catalog/default/dwbb259ca6/productimages/singlepackshot/",LEFT(A3208,FIND("-",A3208&amp;"-")-1),"_RGB.png"))),"https://us.pandora.net/on/demandware.static/-/Sites-pandora-master-catalog/default/dwbb259ca6/productimages/singlepackshot/793119C01_RGB.png")</f>
        <v>https://us.pandora.net/on/demandware.static/-/Sites-pandora-master-catalog/default/dwbb259ca6/productimages/singlepackshot/793119C01_RGB.png</v>
      </c>
    </row>
    <row r="3209" spans="1:4" x14ac:dyDescent="0.25">
      <c r="A3209" s="3" t="s">
        <v>3211</v>
      </c>
      <c r="B3209" s="4">
        <v>45</v>
      </c>
      <c r="C3209" s="3" t="str">
        <f ca="1">IFERROR(ROWSDUMMYFUNCTION(IF(A3209="","",IFERROR(IMAGE(CONCATENATE("https://us.pandora.net/on/demandware.static/-/Sites-pandora-master-catalog/default/dwbb259ca6/productimages/singlepackshot/",LEFT(A3209,FIND("-",A3209&amp;"-")-1),"_RGB.png")),""))),"{""url"":""https://us.pandora.net/on/demandware.static/-/Sites-pandora-master-catalog/default/dwbb259ca6/productimages/singlepackshot/793125C01_RGB.png"",""mode"":1}")</f>
        <v>{"url":"https://us.pandora.net/on/demandware.static/-/Sites-pandora-master-catalog/default/dwbb259ca6/productimages/singlepackshot/793125C01_RGB.png","mode":1}</v>
      </c>
      <c r="D3209" s="5" t="str">
        <f ca="1">IFERROR(ROWSDUMMYFUNCTION(IF(A3209="","",CONCATENATE("https://us.pandora.net/on/demandware.static/-/Sites-pandora-master-catalog/default/dwbb259ca6/productimages/singlepackshot/",LEFT(A3209,FIND("-",A3209&amp;"-")-1),"_RGB.png"))),"https://us.pandora.net/on/demandware.static/-/Sites-pandora-master-catalog/default/dwbb259ca6/productimages/singlepackshot/793125C01_RGB.png")</f>
        <v>https://us.pandora.net/on/demandware.static/-/Sites-pandora-master-catalog/default/dwbb259ca6/productimages/singlepackshot/793125C01_RGB.png</v>
      </c>
    </row>
    <row r="3210" spans="1:4" x14ac:dyDescent="0.25">
      <c r="A3210" s="3" t="s">
        <v>3212</v>
      </c>
      <c r="B3210" s="4">
        <v>45</v>
      </c>
      <c r="C3210" s="3" t="str">
        <f ca="1">IFERROR(ROWSDUMMYFUNCTION(IF(A3210="","",IFERROR(IMAGE(CONCATENATE("https://us.pandora.net/on/demandware.static/-/Sites-pandora-master-catalog/default/dwbb259ca6/productimages/singlepackshot/",LEFT(A3210,FIND("-",A3210&amp;"-")-1),"_RGB.png")),""))),"{""url"":""https://us.pandora.net/on/demandware.static/-/Sites-pandora-master-catalog/default/dwbb259ca6/productimages/singlepackshot/793125C02_RGB.png"",""mode"":1}")</f>
        <v>{"url":"https://us.pandora.net/on/demandware.static/-/Sites-pandora-master-catalog/default/dwbb259ca6/productimages/singlepackshot/793125C02_RGB.png","mode":1}</v>
      </c>
      <c r="D3210" s="5" t="str">
        <f ca="1">IFERROR(ROWSDUMMYFUNCTION(IF(A3210="","",CONCATENATE("https://us.pandora.net/on/demandware.static/-/Sites-pandora-master-catalog/default/dwbb259ca6/productimages/singlepackshot/",LEFT(A3210,FIND("-",A3210&amp;"-")-1),"_RGB.png"))),"https://us.pandora.net/on/demandware.static/-/Sites-pandora-master-catalog/default/dwbb259ca6/productimages/singlepackshot/793125C02_RGB.png")</f>
        <v>https://us.pandora.net/on/demandware.static/-/Sites-pandora-master-catalog/default/dwbb259ca6/productimages/singlepackshot/793125C02_RGB.png</v>
      </c>
    </row>
    <row r="3211" spans="1:4" x14ac:dyDescent="0.25">
      <c r="A3211" s="3" t="s">
        <v>3213</v>
      </c>
      <c r="B3211" s="4">
        <v>45</v>
      </c>
      <c r="C3211" s="3" t="str">
        <f ca="1">IFERROR(ROWSDUMMYFUNCTION(IF(A3211="","",IFERROR(IMAGE(CONCATENATE("https://us.pandora.net/on/demandware.static/-/Sites-pandora-master-catalog/default/dwbb259ca6/productimages/singlepackshot/",LEFT(A3211,FIND("-",A3211&amp;"-")-1),"_RGB.png")),""))),"{""url"":""https://us.pandora.net/on/demandware.static/-/Sites-pandora-master-catalog/default/dwbb259ca6/productimages/singlepackshot/793125C03_RGB.png"",""mode"":1}")</f>
        <v>{"url":"https://us.pandora.net/on/demandware.static/-/Sites-pandora-master-catalog/default/dwbb259ca6/productimages/singlepackshot/793125C03_RGB.png","mode":1}</v>
      </c>
      <c r="D3211" s="5" t="str">
        <f ca="1">IFERROR(ROWSDUMMYFUNCTION(IF(A3211="","",CONCATENATE("https://us.pandora.net/on/demandware.static/-/Sites-pandora-master-catalog/default/dwbb259ca6/productimages/singlepackshot/",LEFT(A3211,FIND("-",A3211&amp;"-")-1),"_RGB.png"))),"https://us.pandora.net/on/demandware.static/-/Sites-pandora-master-catalog/default/dwbb259ca6/productimages/singlepackshot/793125C03_RGB.png")</f>
        <v>https://us.pandora.net/on/demandware.static/-/Sites-pandora-master-catalog/default/dwbb259ca6/productimages/singlepackshot/793125C03_RGB.png</v>
      </c>
    </row>
    <row r="3212" spans="1:4" x14ac:dyDescent="0.25">
      <c r="A3212" s="3" t="s">
        <v>3214</v>
      </c>
      <c r="B3212" s="4">
        <v>45</v>
      </c>
      <c r="C3212" s="3" t="str">
        <f ca="1">IFERROR(ROWSDUMMYFUNCTION(IF(A3212="","",IFERROR(IMAGE(CONCATENATE("https://us.pandora.net/on/demandware.static/-/Sites-pandora-master-catalog/default/dwbb259ca6/productimages/singlepackshot/",LEFT(A3212,FIND("-",A3212&amp;"-")-1),"_RGB.png")),""))),"{""url"":""https://us.pandora.net/on/demandware.static/-/Sites-pandora-master-catalog/default/dwbb259ca6/productimages/singlepackshot/793125C05_RGB.png"",""mode"":1}")</f>
        <v>{"url":"https://us.pandora.net/on/demandware.static/-/Sites-pandora-master-catalog/default/dwbb259ca6/productimages/singlepackshot/793125C05_RGB.png","mode":1}</v>
      </c>
      <c r="D3212" s="5" t="str">
        <f ca="1">IFERROR(ROWSDUMMYFUNCTION(IF(A3212="","",CONCATENATE("https://us.pandora.net/on/demandware.static/-/Sites-pandora-master-catalog/default/dwbb259ca6/productimages/singlepackshot/",LEFT(A3212,FIND("-",A3212&amp;"-")-1),"_RGB.png"))),"https://us.pandora.net/on/demandware.static/-/Sites-pandora-master-catalog/default/dwbb259ca6/productimages/singlepackshot/793125C05_RGB.png")</f>
        <v>https://us.pandora.net/on/demandware.static/-/Sites-pandora-master-catalog/default/dwbb259ca6/productimages/singlepackshot/793125C05_RGB.png</v>
      </c>
    </row>
    <row r="3213" spans="1:4" x14ac:dyDescent="0.25">
      <c r="A3213" s="3" t="s">
        <v>3215</v>
      </c>
      <c r="B3213" s="4">
        <v>45</v>
      </c>
      <c r="C3213" s="3" t="str">
        <f ca="1">IFERROR(ROWSDUMMYFUNCTION(IF(A3213="","",IFERROR(IMAGE(CONCATENATE("https://us.pandora.net/on/demandware.static/-/Sites-pandora-master-catalog/default/dwbb259ca6/productimages/singlepackshot/",LEFT(A3213,FIND("-",A3213&amp;"-")-1),"_RGB.png")),""))),"{""url"":""https://us.pandora.net/on/demandware.static/-/Sites-pandora-master-catalog/default/dwbb259ca6/productimages/singlepackshot/793125C07_RGB.png"",""mode"":1}")</f>
        <v>{"url":"https://us.pandora.net/on/demandware.static/-/Sites-pandora-master-catalog/default/dwbb259ca6/productimages/singlepackshot/793125C07_RGB.png","mode":1}</v>
      </c>
      <c r="D3213" s="5" t="str">
        <f ca="1">IFERROR(ROWSDUMMYFUNCTION(IF(A3213="","",CONCATENATE("https://us.pandora.net/on/demandware.static/-/Sites-pandora-master-catalog/default/dwbb259ca6/productimages/singlepackshot/",LEFT(A3213,FIND("-",A3213&amp;"-")-1),"_RGB.png"))),"https://us.pandora.net/on/demandware.static/-/Sites-pandora-master-catalog/default/dwbb259ca6/productimages/singlepackshot/793125C07_RGB.png")</f>
        <v>https://us.pandora.net/on/demandware.static/-/Sites-pandora-master-catalog/default/dwbb259ca6/productimages/singlepackshot/793125C07_RGB.png</v>
      </c>
    </row>
    <row r="3214" spans="1:4" x14ac:dyDescent="0.25">
      <c r="A3214" s="3" t="s">
        <v>3216</v>
      </c>
      <c r="B3214" s="4">
        <v>45</v>
      </c>
      <c r="C3214" s="3" t="str">
        <f ca="1">IFERROR(ROWSDUMMYFUNCTION(IF(A3214="","",IFERROR(IMAGE(CONCATENATE("https://us.pandora.net/on/demandware.static/-/Sites-pandora-master-catalog/default/dwbb259ca6/productimages/singlepackshot/",LEFT(A3214,FIND("-",A3214&amp;"-")-1),"_RGB.png")),""))),"{""url"":""https://us.pandora.net/on/demandware.static/-/Sites-pandora-master-catalog/default/dwbb259ca6/productimages/singlepackshot/793125C09_RGB.png"",""mode"":1}")</f>
        <v>{"url":"https://us.pandora.net/on/demandware.static/-/Sites-pandora-master-catalog/default/dwbb259ca6/productimages/singlepackshot/793125C09_RGB.png","mode":1}</v>
      </c>
      <c r="D3214" s="5" t="str">
        <f ca="1">IFERROR(ROWSDUMMYFUNCTION(IF(A3214="","",CONCATENATE("https://us.pandora.net/on/demandware.static/-/Sites-pandora-master-catalog/default/dwbb259ca6/productimages/singlepackshot/",LEFT(A3214,FIND("-",A3214&amp;"-")-1),"_RGB.png"))),"https://us.pandora.net/on/demandware.static/-/Sites-pandora-master-catalog/default/dwbb259ca6/productimages/singlepackshot/793125C09_RGB.png")</f>
        <v>https://us.pandora.net/on/demandware.static/-/Sites-pandora-master-catalog/default/dwbb259ca6/productimages/singlepackshot/793125C09_RGB.png</v>
      </c>
    </row>
    <row r="3215" spans="1:4" x14ac:dyDescent="0.25">
      <c r="A3215" s="3" t="s">
        <v>3217</v>
      </c>
      <c r="B3215" s="4">
        <v>45</v>
      </c>
      <c r="C3215" s="3" t="str">
        <f ca="1">IFERROR(ROWSDUMMYFUNCTION(IF(A3215="","",IFERROR(IMAGE(CONCATENATE("https://us.pandora.net/on/demandware.static/-/Sites-pandora-master-catalog/default/dwbb259ca6/productimages/singlepackshot/",LEFT(A3215,FIND("-",A3215&amp;"-")-1),"_RGB.png")),""))),"{""url"":""https://us.pandora.net/on/demandware.static/-/Sites-pandora-master-catalog/default/dwbb259ca6/productimages/singlepackshot/793125C10_RGB.png"",""mode"":1}")</f>
        <v>{"url":"https://us.pandora.net/on/demandware.static/-/Sites-pandora-master-catalog/default/dwbb259ca6/productimages/singlepackshot/793125C10_RGB.png","mode":1}</v>
      </c>
      <c r="D3215" s="5" t="str">
        <f ca="1">IFERROR(ROWSDUMMYFUNCTION(IF(A3215="","",CONCATENATE("https://us.pandora.net/on/demandware.static/-/Sites-pandora-master-catalog/default/dwbb259ca6/productimages/singlepackshot/",LEFT(A3215,FIND("-",A3215&amp;"-")-1),"_RGB.png"))),"https://us.pandora.net/on/demandware.static/-/Sites-pandora-master-catalog/default/dwbb259ca6/productimages/singlepackshot/793125C10_RGB.png")</f>
        <v>https://us.pandora.net/on/demandware.static/-/Sites-pandora-master-catalog/default/dwbb259ca6/productimages/singlepackshot/793125C10_RGB.png</v>
      </c>
    </row>
    <row r="3216" spans="1:4" x14ac:dyDescent="0.25">
      <c r="A3216" s="3" t="s">
        <v>3218</v>
      </c>
      <c r="B3216" s="4">
        <v>69</v>
      </c>
      <c r="C3216" s="3" t="str">
        <f ca="1">IFERROR(ROWSDUMMYFUNCTION(IF(A3216="","",IFERROR(IMAGE(CONCATENATE("https://us.pandora.net/on/demandware.static/-/Sites-pandora-master-catalog/default/dwbb259ca6/productimages/singlepackshot/",LEFT(A3216,FIND("-",A3216&amp;"-")-1),"_RGB.png")),""))),"{""url"":""https://us.pandora.net/on/demandware.static/-/Sites-pandora-master-catalog/default/dwbb259ca6/productimages/singlepackshot/793129C01_RGB.png"",""mode"":1}")</f>
        <v>{"url":"https://us.pandora.net/on/demandware.static/-/Sites-pandora-master-catalog/default/dwbb259ca6/productimages/singlepackshot/793129C01_RGB.png","mode":1}</v>
      </c>
      <c r="D3216" s="5" t="str">
        <f ca="1">IFERROR(ROWSDUMMYFUNCTION(IF(A3216="","",CONCATENATE("https://us.pandora.net/on/demandware.static/-/Sites-pandora-master-catalog/default/dwbb259ca6/productimages/singlepackshot/",LEFT(A3216,FIND("-",A3216&amp;"-")-1),"_RGB.png"))),"https://us.pandora.net/on/demandware.static/-/Sites-pandora-master-catalog/default/dwbb259ca6/productimages/singlepackshot/793129C01_RGB.png")</f>
        <v>https://us.pandora.net/on/demandware.static/-/Sites-pandora-master-catalog/default/dwbb259ca6/productimages/singlepackshot/793129C01_RGB.png</v>
      </c>
    </row>
    <row r="3217" spans="1:4" x14ac:dyDescent="0.25">
      <c r="A3217" s="3" t="s">
        <v>3219</v>
      </c>
      <c r="B3217" s="4">
        <v>69</v>
      </c>
      <c r="C3217" s="3" t="str">
        <f ca="1">IFERROR(ROWSDUMMYFUNCTION(IF(A3217="","",IFERROR(IMAGE(CONCATENATE("https://us.pandora.net/on/demandware.static/-/Sites-pandora-master-catalog/default/dwbb259ca6/productimages/singlepackshot/",LEFT(A3217,FIND("-",A3217&amp;"-")-1),"_RGB.png")),""))),"{""url"":""https://us.pandora.net/on/demandware.static/-/Sites-pandora-master-catalog/default/dwbb259ca6/productimages/singlepackshot/793189C01_RGB.png"",""mode"":1}")</f>
        <v>{"url":"https://us.pandora.net/on/demandware.static/-/Sites-pandora-master-catalog/default/dwbb259ca6/productimages/singlepackshot/793189C01_RGB.png","mode":1}</v>
      </c>
      <c r="D3217" s="5" t="str">
        <f ca="1">IFERROR(ROWSDUMMYFUNCTION(IF(A3217="","",CONCATENATE("https://us.pandora.net/on/demandware.static/-/Sites-pandora-master-catalog/default/dwbb259ca6/productimages/singlepackshot/",LEFT(A3217,FIND("-",A3217&amp;"-")-1),"_RGB.png"))),"https://us.pandora.net/on/demandware.static/-/Sites-pandora-master-catalog/default/dwbb259ca6/productimages/singlepackshot/793189C01_RGB.png")</f>
        <v>https://us.pandora.net/on/demandware.static/-/Sites-pandora-master-catalog/default/dwbb259ca6/productimages/singlepackshot/793189C01_RGB.png</v>
      </c>
    </row>
    <row r="3218" spans="1:4" x14ac:dyDescent="0.25">
      <c r="A3218" s="3" t="s">
        <v>3220</v>
      </c>
      <c r="B3218" s="4">
        <v>69</v>
      </c>
      <c r="C3218" s="3" t="str">
        <f ca="1">IFERROR(ROWSDUMMYFUNCTION(IF(A3218="","",IFERROR(IMAGE(CONCATENATE("https://us.pandora.net/on/demandware.static/-/Sites-pandora-master-catalog/default/dwbb259ca6/productimages/singlepackshot/",LEFT(A3218,FIND("-",A3218&amp;"-")-1),"_RGB.png")),""))),"{""url"":""https://us.pandora.net/on/demandware.static/-/Sites-pandora-master-catalog/default/dwbb259ca6/productimages/singlepackshot/793200C01_RGB.png"",""mode"":1}")</f>
        <v>{"url":"https://us.pandora.net/on/demandware.static/-/Sites-pandora-master-catalog/default/dwbb259ca6/productimages/singlepackshot/793200C01_RGB.png","mode":1}</v>
      </c>
      <c r="D3218" s="5" t="str">
        <f ca="1">IFERROR(ROWSDUMMYFUNCTION(IF(A3218="","",CONCATENATE("https://us.pandora.net/on/demandware.static/-/Sites-pandora-master-catalog/default/dwbb259ca6/productimages/singlepackshot/",LEFT(A3218,FIND("-",A3218&amp;"-")-1),"_RGB.png"))),"https://us.pandora.net/on/demandware.static/-/Sites-pandora-master-catalog/default/dwbb259ca6/productimages/singlepackshot/793200C01_RGB.png")</f>
        <v>https://us.pandora.net/on/demandware.static/-/Sites-pandora-master-catalog/default/dwbb259ca6/productimages/singlepackshot/793200C01_RGB.png</v>
      </c>
    </row>
    <row r="3219" spans="1:4" x14ac:dyDescent="0.25">
      <c r="A3219" s="3" t="s">
        <v>3221</v>
      </c>
      <c r="B3219" s="4">
        <v>65</v>
      </c>
      <c r="C3219" s="3" t="str">
        <f ca="1">IFERROR(ROWSDUMMYFUNCTION(IF(A3219="","",IFERROR(IMAGE(CONCATENATE("https://us.pandora.net/on/demandware.static/-/Sites-pandora-master-catalog/default/dwbb259ca6/productimages/singlepackshot/",LEFT(A3219,FIND("-",A3219&amp;"-")-1),"_RGB.png")),""))),"{""url"":""https://us.pandora.net/on/demandware.static/-/Sites-pandora-master-catalog/default/dwbb259ca6/productimages/singlepackshot/793201C01_RGB.png"",""mode"":1}")</f>
        <v>{"url":"https://us.pandora.net/on/demandware.static/-/Sites-pandora-master-catalog/default/dwbb259ca6/productimages/singlepackshot/793201C01_RGB.png","mode":1}</v>
      </c>
      <c r="D3219" s="5" t="str">
        <f ca="1">IFERROR(ROWSDUMMYFUNCTION(IF(A3219="","",CONCATENATE("https://us.pandora.net/on/demandware.static/-/Sites-pandora-master-catalog/default/dwbb259ca6/productimages/singlepackshot/",LEFT(A3219,FIND("-",A3219&amp;"-")-1),"_RGB.png"))),"https://us.pandora.net/on/demandware.static/-/Sites-pandora-master-catalog/default/dwbb259ca6/productimages/singlepackshot/793201C01_RGB.png")</f>
        <v>https://us.pandora.net/on/demandware.static/-/Sites-pandora-master-catalog/default/dwbb259ca6/productimages/singlepackshot/793201C01_RGB.png</v>
      </c>
    </row>
    <row r="3220" spans="1:4" x14ac:dyDescent="0.25">
      <c r="A3220" s="3" t="s">
        <v>3222</v>
      </c>
      <c r="B3220" s="4">
        <v>65</v>
      </c>
      <c r="C3220" s="3" t="str">
        <f ca="1">IFERROR(ROWSDUMMYFUNCTION(IF(A3220="","",IFERROR(IMAGE(CONCATENATE("https://us.pandora.net/on/demandware.static/-/Sites-pandora-master-catalog/default/dwbb259ca6/productimages/singlepackshot/",LEFT(A3220,FIND("-",A3220&amp;"-")-1),"_RGB.png")),""))),"{""url"":""https://us.pandora.net/on/demandware.static/-/Sites-pandora-master-catalog/default/dwbb259ca6/productimages/singlepackshot/793201C02_RGB.png"",""mode"":1}")</f>
        <v>{"url":"https://us.pandora.net/on/demandware.static/-/Sites-pandora-master-catalog/default/dwbb259ca6/productimages/singlepackshot/793201C02_RGB.png","mode":1}</v>
      </c>
      <c r="D3220" s="5" t="str">
        <f ca="1">IFERROR(ROWSDUMMYFUNCTION(IF(A3220="","",CONCATENATE("https://us.pandora.net/on/demandware.static/-/Sites-pandora-master-catalog/default/dwbb259ca6/productimages/singlepackshot/",LEFT(A3220,FIND("-",A3220&amp;"-")-1),"_RGB.png"))),"https://us.pandora.net/on/demandware.static/-/Sites-pandora-master-catalog/default/dwbb259ca6/productimages/singlepackshot/793201C02_RGB.png")</f>
        <v>https://us.pandora.net/on/demandware.static/-/Sites-pandora-master-catalog/default/dwbb259ca6/productimages/singlepackshot/793201C02_RGB.png</v>
      </c>
    </row>
    <row r="3221" spans="1:4" x14ac:dyDescent="0.25">
      <c r="A3221" s="3" t="s">
        <v>3223</v>
      </c>
      <c r="B3221" s="4">
        <v>55</v>
      </c>
      <c r="C3221" s="3" t="str">
        <f ca="1">IFERROR(ROWSDUMMYFUNCTION(IF(A3221="","",IFERROR(IMAGE(CONCATENATE("https://us.pandora.net/on/demandware.static/-/Sites-pandora-master-catalog/default/dwbb259ca6/productimages/singlepackshot/",LEFT(A3221,FIND("-",A3221&amp;"-")-1),"_RGB.png")),""))),"{""url"":""https://us.pandora.net/on/demandware.static/-/Sites-pandora-master-catalog/default/dwbb259ca6/productimages/singlepackshot/793202C01_RGB.png"",""mode"":1}")</f>
        <v>{"url":"https://us.pandora.net/on/demandware.static/-/Sites-pandora-master-catalog/default/dwbb259ca6/productimages/singlepackshot/793202C01_RGB.png","mode":1}</v>
      </c>
      <c r="D3221" s="5" t="str">
        <f ca="1">IFERROR(ROWSDUMMYFUNCTION(IF(A3221="","",CONCATENATE("https://us.pandora.net/on/demandware.static/-/Sites-pandora-master-catalog/default/dwbb259ca6/productimages/singlepackshot/",LEFT(A3221,FIND("-",A3221&amp;"-")-1),"_RGB.png"))),"https://us.pandora.net/on/demandware.static/-/Sites-pandora-master-catalog/default/dwbb259ca6/productimages/singlepackshot/793202C01_RGB.png")</f>
        <v>https://us.pandora.net/on/demandware.static/-/Sites-pandora-master-catalog/default/dwbb259ca6/productimages/singlepackshot/793202C01_RGB.png</v>
      </c>
    </row>
    <row r="3222" spans="1:4" x14ac:dyDescent="0.25">
      <c r="A3222" s="3" t="s">
        <v>3224</v>
      </c>
      <c r="B3222" s="4">
        <v>55</v>
      </c>
      <c r="C3222" s="3" t="str">
        <f ca="1">IFERROR(ROWSDUMMYFUNCTION(IF(A3222="","",IFERROR(IMAGE(CONCATENATE("https://us.pandora.net/on/demandware.static/-/Sites-pandora-master-catalog/default/dwbb259ca6/productimages/singlepackshot/",LEFT(A3222,FIND("-",A3222&amp;"-")-1),"_RGB.png")),""))),"{""url"":""https://us.pandora.net/on/demandware.static/-/Sites-pandora-master-catalog/default/dwbb259ca6/productimages/singlepackshot/793212C01_RGB.png"",""mode"":1}")</f>
        <v>{"url":"https://us.pandora.net/on/demandware.static/-/Sites-pandora-master-catalog/default/dwbb259ca6/productimages/singlepackshot/793212C01_RGB.png","mode":1}</v>
      </c>
      <c r="D3222" s="5" t="str">
        <f ca="1">IFERROR(ROWSDUMMYFUNCTION(IF(A3222="","",CONCATENATE("https://us.pandora.net/on/demandware.static/-/Sites-pandora-master-catalog/default/dwbb259ca6/productimages/singlepackshot/",LEFT(A3222,FIND("-",A3222&amp;"-")-1),"_RGB.png"))),"https://us.pandora.net/on/demandware.static/-/Sites-pandora-master-catalog/default/dwbb259ca6/productimages/singlepackshot/793212C01_RGB.png")</f>
        <v>https://us.pandora.net/on/demandware.static/-/Sites-pandora-master-catalog/default/dwbb259ca6/productimages/singlepackshot/793212C01_RGB.png</v>
      </c>
    </row>
    <row r="3223" spans="1:4" x14ac:dyDescent="0.25">
      <c r="A3223" s="3" t="s">
        <v>3225</v>
      </c>
      <c r="B3223" s="4">
        <v>29</v>
      </c>
      <c r="C3223" s="3" t="str">
        <f ca="1">IFERROR(ROWSDUMMYFUNCTION(IF(A3223="","",IFERROR(IMAGE(CONCATENATE("https://us.pandora.net/on/demandware.static/-/Sites-pandora-master-catalog/default/dwbb259ca6/productimages/singlepackshot/",LEFT(A3223,FIND("-",A3223&amp;"-")-1),"_RGB.png")),""))),"{""url"":""https://us.pandora.net/on/demandware.static/-/Sites-pandora-master-catalog/default/dwbb259ca6/productimages/singlepackshot/793213C00_RGB.png"",""mode"":1}")</f>
        <v>{"url":"https://us.pandora.net/on/demandware.static/-/Sites-pandora-master-catalog/default/dwbb259ca6/productimages/singlepackshot/793213C00_RGB.png","mode":1}</v>
      </c>
      <c r="D3223" s="5" t="str">
        <f ca="1">IFERROR(ROWSDUMMYFUNCTION(IF(A3223="","",CONCATENATE("https://us.pandora.net/on/demandware.static/-/Sites-pandora-master-catalog/default/dwbb259ca6/productimages/singlepackshot/",LEFT(A3223,FIND("-",A3223&amp;"-")-1),"_RGB.png"))),"https://us.pandora.net/on/demandware.static/-/Sites-pandora-master-catalog/default/dwbb259ca6/productimages/singlepackshot/793213C00_RGB.png")</f>
        <v>https://us.pandora.net/on/demandware.static/-/Sites-pandora-master-catalog/default/dwbb259ca6/productimages/singlepackshot/793213C00_RGB.png</v>
      </c>
    </row>
    <row r="3224" spans="1:4" x14ac:dyDescent="0.25">
      <c r="A3224" s="3" t="s">
        <v>3226</v>
      </c>
      <c r="B3224" s="4">
        <v>69</v>
      </c>
      <c r="C3224" s="3" t="str">
        <f ca="1">IFERROR(ROWSDUMMYFUNCTION(IF(A3224="","",IFERROR(IMAGE(CONCATENATE("https://us.pandora.net/on/demandware.static/-/Sites-pandora-master-catalog/default/dwbb259ca6/productimages/singlepackshot/",LEFT(A3224,FIND("-",A3224&amp;"-")-1),"_RGB.png")),""))),"{""url"":""https://us.pandora.net/on/demandware.static/-/Sites-pandora-master-catalog/default/dwbb259ca6/productimages/singlepackshot/793232C01_RGB.png"",""mode"":1}")</f>
        <v>{"url":"https://us.pandora.net/on/demandware.static/-/Sites-pandora-master-catalog/default/dwbb259ca6/productimages/singlepackshot/793232C01_RGB.png","mode":1}</v>
      </c>
      <c r="D3224" s="5" t="str">
        <f ca="1">IFERROR(ROWSDUMMYFUNCTION(IF(A3224="","",CONCATENATE("https://us.pandora.net/on/demandware.static/-/Sites-pandora-master-catalog/default/dwbb259ca6/productimages/singlepackshot/",LEFT(A3224,FIND("-",A3224&amp;"-")-1),"_RGB.png"))),"https://us.pandora.net/on/demandware.static/-/Sites-pandora-master-catalog/default/dwbb259ca6/productimages/singlepackshot/793232C01_RGB.png")</f>
        <v>https://us.pandora.net/on/demandware.static/-/Sites-pandora-master-catalog/default/dwbb259ca6/productimages/singlepackshot/793232C01_RGB.png</v>
      </c>
    </row>
    <row r="3225" spans="1:4" x14ac:dyDescent="0.25">
      <c r="A3225" s="3" t="s">
        <v>3227</v>
      </c>
      <c r="B3225" s="4">
        <v>39</v>
      </c>
      <c r="C3225" s="3" t="str">
        <f ca="1">IFERROR(ROWSDUMMYFUNCTION(IF(A3225="","",IFERROR(IMAGE(CONCATENATE("https://us.pandora.net/on/demandware.static/-/Sites-pandora-master-catalog/default/dwbb259ca6/productimages/singlepackshot/",LEFT(A3225,FIND("-",A3225&amp;"-")-1),"_RGB.png")),""))),"{""url"":""https://us.pandora.net/on/demandware.static/-/Sites-pandora-master-catalog/default/dwbb259ca6/productimages/singlepackshot/793241C00_RGB.png"",""mode"":1}")</f>
        <v>{"url":"https://us.pandora.net/on/demandware.static/-/Sites-pandora-master-catalog/default/dwbb259ca6/productimages/singlepackshot/793241C00_RGB.png","mode":1}</v>
      </c>
      <c r="D3225" s="5" t="str">
        <f ca="1">IFERROR(ROWSDUMMYFUNCTION(IF(A3225="","",CONCATENATE("https://us.pandora.net/on/demandware.static/-/Sites-pandora-master-catalog/default/dwbb259ca6/productimages/singlepackshot/",LEFT(A3225,FIND("-",A3225&amp;"-")-1),"_RGB.png"))),"https://us.pandora.net/on/demandware.static/-/Sites-pandora-master-catalog/default/dwbb259ca6/productimages/singlepackshot/793241C00_RGB.png")</f>
        <v>https://us.pandora.net/on/demandware.static/-/Sites-pandora-master-catalog/default/dwbb259ca6/productimages/singlepackshot/793241C00_RGB.png</v>
      </c>
    </row>
    <row r="3226" spans="1:4" x14ac:dyDescent="0.25">
      <c r="A3226" s="3" t="s">
        <v>3228</v>
      </c>
      <c r="B3226" s="4">
        <v>19</v>
      </c>
      <c r="C3226" s="3" t="str">
        <f ca="1">IFERROR(ROWSDUMMYFUNCTION(IF(A3226="","",IFERROR(IMAGE(CONCATENATE("https://us.pandora.net/on/demandware.static/-/Sites-pandora-master-catalog/default/dwbb259ca6/productimages/singlepackshot/",LEFT(A3226,FIND("-",A3226&amp;"-")-1),"_RGB.png")),""))),"{""url"":""https://us.pandora.net/on/demandware.static/-/Sites-pandora-master-catalog/default/dwbb259ca6/productimages/singlepackshot/793243C00_RGB.png"",""mode"":1}")</f>
        <v>{"url":"https://us.pandora.net/on/demandware.static/-/Sites-pandora-master-catalog/default/dwbb259ca6/productimages/singlepackshot/793243C00_RGB.png","mode":1}</v>
      </c>
      <c r="D3226" s="5" t="str">
        <f ca="1">IFERROR(ROWSDUMMYFUNCTION(IF(A3226="","",CONCATENATE("https://us.pandora.net/on/demandware.static/-/Sites-pandora-master-catalog/default/dwbb259ca6/productimages/singlepackshot/",LEFT(A3226,FIND("-",A3226&amp;"-")-1),"_RGB.png"))),"https://us.pandora.net/on/demandware.static/-/Sites-pandora-master-catalog/default/dwbb259ca6/productimages/singlepackshot/793243C00_RGB.png")</f>
        <v>https://us.pandora.net/on/demandware.static/-/Sites-pandora-master-catalog/default/dwbb259ca6/productimages/singlepackshot/793243C00_RGB.png</v>
      </c>
    </row>
    <row r="3227" spans="1:4" x14ac:dyDescent="0.25">
      <c r="A3227" s="3" t="s">
        <v>3229</v>
      </c>
      <c r="B3227" s="4">
        <v>49</v>
      </c>
      <c r="C3227" s="3" t="str">
        <f ca="1">IFERROR(ROWSDUMMYFUNCTION(IF(A3227="","",IFERROR(IMAGE(CONCATENATE("https://us.pandora.net/on/demandware.static/-/Sites-pandora-master-catalog/default/dwbb259ca6/productimages/singlepackshot/",LEFT(A3227,FIND("-",A3227&amp;"-")-1),"_RGB.png")),""))),"{""url"":""https://us.pandora.net/on/demandware.static/-/Sites-pandora-master-catalog/default/dwbb259ca6/productimages/singlepackshot/793252C00_RGB.png"",""mode"":1}")</f>
        <v>{"url":"https://us.pandora.net/on/demandware.static/-/Sites-pandora-master-catalog/default/dwbb259ca6/productimages/singlepackshot/793252C00_RGB.png","mode":1}</v>
      </c>
      <c r="D3227" s="5" t="str">
        <f ca="1">IFERROR(ROWSDUMMYFUNCTION(IF(A3227="","",CONCATENATE("https://us.pandora.net/on/demandware.static/-/Sites-pandora-master-catalog/default/dwbb259ca6/productimages/singlepackshot/",LEFT(A3227,FIND("-",A3227&amp;"-")-1),"_RGB.png"))),"https://us.pandora.net/on/demandware.static/-/Sites-pandora-master-catalog/default/dwbb259ca6/productimages/singlepackshot/793252C00_RGB.png")</f>
        <v>https://us.pandora.net/on/demandware.static/-/Sites-pandora-master-catalog/default/dwbb259ca6/productimages/singlepackshot/793252C00_RGB.png</v>
      </c>
    </row>
    <row r="3228" spans="1:4" x14ac:dyDescent="0.25">
      <c r="A3228" s="3" t="s">
        <v>3230</v>
      </c>
      <c r="B3228" s="4">
        <v>39</v>
      </c>
      <c r="C3228" s="3" t="str">
        <f ca="1">IFERROR(ROWSDUMMYFUNCTION(IF(A3228="","",IFERROR(IMAGE(CONCATENATE("https://us.pandora.net/on/demandware.static/-/Sites-pandora-master-catalog/default/dwbb259ca6/productimages/singlepackshot/",LEFT(A3228,FIND("-",A3228&amp;"-")-1),"_RGB.png")),""))),"{""url"":""https://us.pandora.net/on/demandware.static/-/Sites-pandora-master-catalog/default/dwbb259ca6/productimages/singlepackshot/793331C01_RGB.png"",""mode"":1}")</f>
        <v>{"url":"https://us.pandora.net/on/demandware.static/-/Sites-pandora-master-catalog/default/dwbb259ca6/productimages/singlepackshot/793331C01_RGB.png","mode":1}</v>
      </c>
      <c r="D3228" s="5" t="str">
        <f ca="1">IFERROR(ROWSDUMMYFUNCTION(IF(A3228="","",CONCATENATE("https://us.pandora.net/on/demandware.static/-/Sites-pandora-master-catalog/default/dwbb259ca6/productimages/singlepackshot/",LEFT(A3228,FIND("-",A3228&amp;"-")-1),"_RGB.png"))),"https://us.pandora.net/on/demandware.static/-/Sites-pandora-master-catalog/default/dwbb259ca6/productimages/singlepackshot/793331C01_RGB.png")</f>
        <v>https://us.pandora.net/on/demandware.static/-/Sites-pandora-master-catalog/default/dwbb259ca6/productimages/singlepackshot/793331C01_RGB.png</v>
      </c>
    </row>
    <row r="3229" spans="1:4" x14ac:dyDescent="0.25">
      <c r="A3229" s="3" t="s">
        <v>3231</v>
      </c>
      <c r="B3229" s="4">
        <v>39</v>
      </c>
      <c r="C3229" s="3" t="str">
        <f ca="1">IFERROR(ROWSDUMMYFUNCTION(IF(A3229="","",IFERROR(IMAGE(CONCATENATE("https://us.pandora.net/on/demandware.static/-/Sites-pandora-master-catalog/default/dwbb259ca6/productimages/singlepackshot/",LEFT(A3229,FIND("-",A3229&amp;"-")-1),"_RGB.png")),""))),"{""url"":""https://us.pandora.net/on/demandware.static/-/Sites-pandora-master-catalog/default/dwbb259ca6/productimages/singlepackshot/793332C01_RGB.png"",""mode"":1}")</f>
        <v>{"url":"https://us.pandora.net/on/demandware.static/-/Sites-pandora-master-catalog/default/dwbb259ca6/productimages/singlepackshot/793332C01_RGB.png","mode":1}</v>
      </c>
      <c r="D3229" s="5" t="str">
        <f ca="1">IFERROR(ROWSDUMMYFUNCTION(IF(A3229="","",CONCATENATE("https://us.pandora.net/on/demandware.static/-/Sites-pandora-master-catalog/default/dwbb259ca6/productimages/singlepackshot/",LEFT(A3229,FIND("-",A3229&amp;"-")-1),"_RGB.png"))),"https://us.pandora.net/on/demandware.static/-/Sites-pandora-master-catalog/default/dwbb259ca6/productimages/singlepackshot/793332C01_RGB.png")</f>
        <v>https://us.pandora.net/on/demandware.static/-/Sites-pandora-master-catalog/default/dwbb259ca6/productimages/singlepackshot/793332C01_RGB.png</v>
      </c>
    </row>
    <row r="3230" spans="1:4" x14ac:dyDescent="0.25">
      <c r="A3230" s="3" t="s">
        <v>3232</v>
      </c>
      <c r="B3230" s="4">
        <v>39</v>
      </c>
      <c r="C3230" s="3" t="str">
        <f ca="1">IFERROR(ROWSDUMMYFUNCTION(IF(A3230="","",IFERROR(IMAGE(CONCATENATE("https://us.pandora.net/on/demandware.static/-/Sites-pandora-master-catalog/default/dwbb259ca6/productimages/singlepackshot/",LEFT(A3230,FIND("-",A3230&amp;"-")-1),"_RGB.png")),""))),"{""url"":""https://us.pandora.net/on/demandware.static/-/Sites-pandora-master-catalog/default/dwbb259ca6/productimages/singlepackshot/793337C01_RGB.png"",""mode"":1}")</f>
        <v>{"url":"https://us.pandora.net/on/demandware.static/-/Sites-pandora-master-catalog/default/dwbb259ca6/productimages/singlepackshot/793337C01_RGB.png","mode":1}</v>
      </c>
      <c r="D3230" s="5" t="str">
        <f ca="1">IFERROR(ROWSDUMMYFUNCTION(IF(A3230="","",CONCATENATE("https://us.pandora.net/on/demandware.static/-/Sites-pandora-master-catalog/default/dwbb259ca6/productimages/singlepackshot/",LEFT(A3230,FIND("-",A3230&amp;"-")-1),"_RGB.png"))),"https://us.pandora.net/on/demandware.static/-/Sites-pandora-master-catalog/default/dwbb259ca6/productimages/singlepackshot/793337C01_RGB.png")</f>
        <v>https://us.pandora.net/on/demandware.static/-/Sites-pandora-master-catalog/default/dwbb259ca6/productimages/singlepackshot/793337C01_RGB.png</v>
      </c>
    </row>
    <row r="3231" spans="1:4" x14ac:dyDescent="0.25">
      <c r="A3231" s="3" t="s">
        <v>3233</v>
      </c>
      <c r="B3231" s="4">
        <v>39</v>
      </c>
      <c r="C3231" s="3" t="str">
        <f ca="1">IFERROR(ROWSDUMMYFUNCTION(IF(A3231="","",IFERROR(IMAGE(CONCATENATE("https://us.pandora.net/on/demandware.static/-/Sites-pandora-master-catalog/default/dwbb259ca6/productimages/singlepackshot/",LEFT(A3231,FIND("-",A3231&amp;"-")-1),"_RGB.png")),""))),"{""url"":""https://us.pandora.net/on/demandware.static/-/Sites-pandora-master-catalog/default/dwbb259ca6/productimages/singlepackshot/793337C02_RGB.png"",""mode"":1}")</f>
        <v>{"url":"https://us.pandora.net/on/demandware.static/-/Sites-pandora-master-catalog/default/dwbb259ca6/productimages/singlepackshot/793337C02_RGB.png","mode":1}</v>
      </c>
      <c r="D3231" s="5" t="str">
        <f ca="1">IFERROR(ROWSDUMMYFUNCTION(IF(A3231="","",CONCATENATE("https://us.pandora.net/on/demandware.static/-/Sites-pandora-master-catalog/default/dwbb259ca6/productimages/singlepackshot/",LEFT(A3231,FIND("-",A3231&amp;"-")-1),"_RGB.png"))),"https://us.pandora.net/on/demandware.static/-/Sites-pandora-master-catalog/default/dwbb259ca6/productimages/singlepackshot/793337C02_RGB.png")</f>
        <v>https://us.pandora.net/on/demandware.static/-/Sites-pandora-master-catalog/default/dwbb259ca6/productimages/singlepackshot/793337C02_RGB.png</v>
      </c>
    </row>
    <row r="3232" spans="1:4" x14ac:dyDescent="0.25">
      <c r="A3232" s="3" t="s">
        <v>3234</v>
      </c>
      <c r="B3232" s="4">
        <v>39</v>
      </c>
      <c r="C3232" s="3" t="str">
        <f ca="1">IFERROR(ROWSDUMMYFUNCTION(IF(A3232="","",IFERROR(IMAGE(CONCATENATE("https://us.pandora.net/on/demandware.static/-/Sites-pandora-master-catalog/default/dwbb259ca6/productimages/singlepackshot/",LEFT(A3232,FIND("-",A3232&amp;"-")-1),"_RGB.png")),""))),"{""url"":""https://us.pandora.net/on/demandware.static/-/Sites-pandora-master-catalog/default/dwbb259ca6/productimages/singlepackshot/793337C03_RGB.png"",""mode"":1}")</f>
        <v>{"url":"https://us.pandora.net/on/demandware.static/-/Sites-pandora-master-catalog/default/dwbb259ca6/productimages/singlepackshot/793337C03_RGB.png","mode":1}</v>
      </c>
      <c r="D3232" s="5" t="str">
        <f ca="1">IFERROR(ROWSDUMMYFUNCTION(IF(A3232="","",CONCATENATE("https://us.pandora.net/on/demandware.static/-/Sites-pandora-master-catalog/default/dwbb259ca6/productimages/singlepackshot/",LEFT(A3232,FIND("-",A3232&amp;"-")-1),"_RGB.png"))),"https://us.pandora.net/on/demandware.static/-/Sites-pandora-master-catalog/default/dwbb259ca6/productimages/singlepackshot/793337C03_RGB.png")</f>
        <v>https://us.pandora.net/on/demandware.static/-/Sites-pandora-master-catalog/default/dwbb259ca6/productimages/singlepackshot/793337C03_RGB.png</v>
      </c>
    </row>
    <row r="3233" spans="1:4" x14ac:dyDescent="0.25">
      <c r="A3233" s="3" t="s">
        <v>3235</v>
      </c>
      <c r="B3233" s="4">
        <v>39</v>
      </c>
      <c r="C3233" s="3" t="str">
        <f ca="1">IFERROR(ROWSDUMMYFUNCTION(IF(A3233="","",IFERROR(IMAGE(CONCATENATE("https://us.pandora.net/on/demandware.static/-/Sites-pandora-master-catalog/default/dwbb259ca6/productimages/singlepackshot/",LEFT(A3233,FIND("-",A3233&amp;"-")-1),"_RGB.png")),""))),"{""url"":""https://us.pandora.net/on/demandware.static/-/Sites-pandora-master-catalog/default/dwbb259ca6/productimages/singlepackshot/793337C04_RGB.png"",""mode"":1}")</f>
        <v>{"url":"https://us.pandora.net/on/demandware.static/-/Sites-pandora-master-catalog/default/dwbb259ca6/productimages/singlepackshot/793337C04_RGB.png","mode":1}</v>
      </c>
      <c r="D3233" s="5" t="str">
        <f ca="1">IFERROR(ROWSDUMMYFUNCTION(IF(A3233="","",CONCATENATE("https://us.pandora.net/on/demandware.static/-/Sites-pandora-master-catalog/default/dwbb259ca6/productimages/singlepackshot/",LEFT(A3233,FIND("-",A3233&amp;"-")-1),"_RGB.png"))),"https://us.pandora.net/on/demandware.static/-/Sites-pandora-master-catalog/default/dwbb259ca6/productimages/singlepackshot/793337C04_RGB.png")</f>
        <v>https://us.pandora.net/on/demandware.static/-/Sites-pandora-master-catalog/default/dwbb259ca6/productimages/singlepackshot/793337C04_RGB.png</v>
      </c>
    </row>
    <row r="3234" spans="1:4" x14ac:dyDescent="0.25">
      <c r="A3234" s="3" t="s">
        <v>3236</v>
      </c>
      <c r="B3234" s="4">
        <v>39</v>
      </c>
      <c r="C3234" s="3" t="str">
        <f ca="1">IFERROR(ROWSDUMMYFUNCTION(IF(A3234="","",IFERROR(IMAGE(CONCATENATE("https://us.pandora.net/on/demandware.static/-/Sites-pandora-master-catalog/default/dwbb259ca6/productimages/singlepackshot/",LEFT(A3234,FIND("-",A3234&amp;"-")-1),"_RGB.png")),""))),"{""url"":""https://us.pandora.net/on/demandware.static/-/Sites-pandora-master-catalog/default/dwbb259ca6/productimages/singlepackshot/793337C05_RGB.png"",""mode"":1}")</f>
        <v>{"url":"https://us.pandora.net/on/demandware.static/-/Sites-pandora-master-catalog/default/dwbb259ca6/productimages/singlepackshot/793337C05_RGB.png","mode":1}</v>
      </c>
      <c r="D3234" s="5" t="str">
        <f ca="1">IFERROR(ROWSDUMMYFUNCTION(IF(A3234="","",CONCATENATE("https://us.pandora.net/on/demandware.static/-/Sites-pandora-master-catalog/default/dwbb259ca6/productimages/singlepackshot/",LEFT(A3234,FIND("-",A3234&amp;"-")-1),"_RGB.png"))),"https://us.pandora.net/on/demandware.static/-/Sites-pandora-master-catalog/default/dwbb259ca6/productimages/singlepackshot/793337C05_RGB.png")</f>
        <v>https://us.pandora.net/on/demandware.static/-/Sites-pandora-master-catalog/default/dwbb259ca6/productimages/singlepackshot/793337C05_RGB.png</v>
      </c>
    </row>
    <row r="3235" spans="1:4" x14ac:dyDescent="0.25">
      <c r="A3235" s="3" t="s">
        <v>3237</v>
      </c>
      <c r="B3235" s="4">
        <v>39</v>
      </c>
      <c r="C3235" s="3" t="str">
        <f ca="1">IFERROR(ROWSDUMMYFUNCTION(IF(A3235="","",IFERROR(IMAGE(CONCATENATE("https://us.pandora.net/on/demandware.static/-/Sites-pandora-master-catalog/default/dwbb259ca6/productimages/singlepackshot/",LEFT(A3235,FIND("-",A3235&amp;"-")-1),"_RGB.png")),""))),"{""url"":""https://us.pandora.net/on/demandware.static/-/Sites-pandora-master-catalog/default/dwbb259ca6/productimages/singlepackshot/793337C06_RGB.png"",""mode"":1}")</f>
        <v>{"url":"https://us.pandora.net/on/demandware.static/-/Sites-pandora-master-catalog/default/dwbb259ca6/productimages/singlepackshot/793337C06_RGB.png","mode":1}</v>
      </c>
      <c r="D3235" s="5" t="str">
        <f ca="1">IFERROR(ROWSDUMMYFUNCTION(IF(A3235="","",CONCATENATE("https://us.pandora.net/on/demandware.static/-/Sites-pandora-master-catalog/default/dwbb259ca6/productimages/singlepackshot/",LEFT(A3235,FIND("-",A3235&amp;"-")-1),"_RGB.png"))),"https://us.pandora.net/on/demandware.static/-/Sites-pandora-master-catalog/default/dwbb259ca6/productimages/singlepackshot/793337C06_RGB.png")</f>
        <v>https://us.pandora.net/on/demandware.static/-/Sites-pandora-master-catalog/default/dwbb259ca6/productimages/singlepackshot/793337C06_RGB.png</v>
      </c>
    </row>
    <row r="3236" spans="1:4" x14ac:dyDescent="0.25">
      <c r="A3236" s="3" t="s">
        <v>3238</v>
      </c>
      <c r="B3236" s="4">
        <v>39</v>
      </c>
      <c r="C3236" s="3" t="str">
        <f ca="1">IFERROR(ROWSDUMMYFUNCTION(IF(A3236="","",IFERROR(IMAGE(CONCATENATE("https://us.pandora.net/on/demandware.static/-/Sites-pandora-master-catalog/default/dwbb259ca6/productimages/singlepackshot/",LEFT(A3236,FIND("-",A3236&amp;"-")-1),"_RGB.png")),""))),"{""url"":""https://us.pandora.net/on/demandware.static/-/Sites-pandora-master-catalog/default/dwbb259ca6/productimages/singlepackshot/793337C07_RGB.png"",""mode"":1}")</f>
        <v>{"url":"https://us.pandora.net/on/demandware.static/-/Sites-pandora-master-catalog/default/dwbb259ca6/productimages/singlepackshot/793337C07_RGB.png","mode":1}</v>
      </c>
      <c r="D3236" s="5" t="str">
        <f ca="1">IFERROR(ROWSDUMMYFUNCTION(IF(A3236="","",CONCATENATE("https://us.pandora.net/on/demandware.static/-/Sites-pandora-master-catalog/default/dwbb259ca6/productimages/singlepackshot/",LEFT(A3236,FIND("-",A3236&amp;"-")-1),"_RGB.png"))),"https://us.pandora.net/on/demandware.static/-/Sites-pandora-master-catalog/default/dwbb259ca6/productimages/singlepackshot/793337C07_RGB.png")</f>
        <v>https://us.pandora.net/on/demandware.static/-/Sites-pandora-master-catalog/default/dwbb259ca6/productimages/singlepackshot/793337C07_RGB.png</v>
      </c>
    </row>
    <row r="3237" spans="1:4" x14ac:dyDescent="0.25">
      <c r="A3237" s="3" t="s">
        <v>3239</v>
      </c>
      <c r="B3237" s="4">
        <v>65</v>
      </c>
      <c r="C3237" s="3" t="str">
        <f ca="1">IFERROR(ROWSDUMMYFUNCTION(IF(A3237="","",IFERROR(IMAGE(CONCATENATE("https://us.pandora.net/on/demandware.static/-/Sites-pandora-master-catalog/default/dwbb259ca6/productimages/singlepackshot/",LEFT(A3237,FIND("-",A3237&amp;"-")-1),"_RGB.png")),""))),"{""url"":""https://us.pandora.net/on/demandware.static/-/Sites-pandora-master-catalog/default/dwbb259ca6/productimages/singlepackshot/793339C01_RGB.png"",""mode"":1}")</f>
        <v>{"url":"https://us.pandora.net/on/demandware.static/-/Sites-pandora-master-catalog/default/dwbb259ca6/productimages/singlepackshot/793339C01_RGB.png","mode":1}</v>
      </c>
      <c r="D3237" s="5" t="str">
        <f ca="1">IFERROR(ROWSDUMMYFUNCTION(IF(A3237="","",CONCATENATE("https://us.pandora.net/on/demandware.static/-/Sites-pandora-master-catalog/default/dwbb259ca6/productimages/singlepackshot/",LEFT(A3237,FIND("-",A3237&amp;"-")-1),"_RGB.png"))),"https://us.pandora.net/on/demandware.static/-/Sites-pandora-master-catalog/default/dwbb259ca6/productimages/singlepackshot/793339C01_RGB.png")</f>
        <v>https://us.pandora.net/on/demandware.static/-/Sites-pandora-master-catalog/default/dwbb259ca6/productimages/singlepackshot/793339C01_RGB.png</v>
      </c>
    </row>
    <row r="3238" spans="1:4" x14ac:dyDescent="0.25">
      <c r="A3238" s="3" t="s">
        <v>3240</v>
      </c>
      <c r="B3238" s="4">
        <v>29</v>
      </c>
      <c r="C3238" s="3" t="str">
        <f ca="1">IFERROR(ROWSDUMMYFUNCTION(IF(A3238="","",IFERROR(IMAGE(CONCATENATE("https://us.pandora.net/on/demandware.static/-/Sites-pandora-master-catalog/default/dwbb259ca6/productimages/singlepackshot/",LEFT(A3238,FIND("-",A3238&amp;"-")-1),"_RGB.png")),""))),"{""url"":""https://us.pandora.net/on/demandware.static/-/Sites-pandora-master-catalog/default/dwbb259ca6/productimages/singlepackshot/793342C01_RGB.png"",""mode"":1}")</f>
        <v>{"url":"https://us.pandora.net/on/demandware.static/-/Sites-pandora-master-catalog/default/dwbb259ca6/productimages/singlepackshot/793342C01_RGB.png","mode":1}</v>
      </c>
      <c r="D3238" s="5" t="str">
        <f ca="1">IFERROR(ROWSDUMMYFUNCTION(IF(A3238="","",CONCATENATE("https://us.pandora.net/on/demandware.static/-/Sites-pandora-master-catalog/default/dwbb259ca6/productimages/singlepackshot/",LEFT(A3238,FIND("-",A3238&amp;"-")-1),"_RGB.png"))),"https://us.pandora.net/on/demandware.static/-/Sites-pandora-master-catalog/default/dwbb259ca6/productimages/singlepackshot/793342C01_RGB.png")</f>
        <v>https://us.pandora.net/on/demandware.static/-/Sites-pandora-master-catalog/default/dwbb259ca6/productimages/singlepackshot/793342C01_RGB.png</v>
      </c>
    </row>
    <row r="3239" spans="1:4" x14ac:dyDescent="0.25">
      <c r="A3239" s="3" t="s">
        <v>3241</v>
      </c>
      <c r="B3239" s="4">
        <v>19</v>
      </c>
      <c r="C3239" s="3" t="str">
        <f ca="1">IFERROR(ROWSDUMMYFUNCTION(IF(A3239="","",IFERROR(IMAGE(CONCATENATE("https://us.pandora.net/on/demandware.static/-/Sites-pandora-master-catalog/default/dwbb259ca6/productimages/singlepackshot/",LEFT(A3239,FIND("-",A3239&amp;"-")-1),"_RGB.png")),""))),"{""url"":""https://us.pandora.net/on/demandware.static/-/Sites-pandora-master-catalog/default/dwbb259ca6/productimages/singlepackshot/793345C01_RGB.png"",""mode"":1}")</f>
        <v>{"url":"https://us.pandora.net/on/demandware.static/-/Sites-pandora-master-catalog/default/dwbb259ca6/productimages/singlepackshot/793345C01_RGB.png","mode":1}</v>
      </c>
      <c r="D3239" s="5" t="str">
        <f ca="1">IFERROR(ROWSDUMMYFUNCTION(IF(A3239="","",CONCATENATE("https://us.pandora.net/on/demandware.static/-/Sites-pandora-master-catalog/default/dwbb259ca6/productimages/singlepackshot/",LEFT(A3239,FIND("-",A3239&amp;"-")-1),"_RGB.png"))),"https://us.pandora.net/on/demandware.static/-/Sites-pandora-master-catalog/default/dwbb259ca6/productimages/singlepackshot/793345C01_RGB.png")</f>
        <v>https://us.pandora.net/on/demandware.static/-/Sites-pandora-master-catalog/default/dwbb259ca6/productimages/singlepackshot/793345C01_RGB.png</v>
      </c>
    </row>
    <row r="3240" spans="1:4" x14ac:dyDescent="0.25">
      <c r="A3240" s="3" t="s">
        <v>3242</v>
      </c>
      <c r="B3240" s="4">
        <v>55</v>
      </c>
      <c r="C3240" s="3" t="str">
        <f ca="1">IFERROR(ROWSDUMMYFUNCTION(IF(A3240="","",IFERROR(IMAGE(CONCATENATE("https://us.pandora.net/on/demandware.static/-/Sites-pandora-master-catalog/default/dwbb259ca6/productimages/singlepackshot/",LEFT(A3240,FIND("-",A3240&amp;"-")-1),"_RGB.png")),""))),"{""url"":""https://us.pandora.net/on/demandware.static/-/Sites-pandora-master-catalog/default/dwbb259ca6/productimages/singlepackshot/793348C01_RGB.png"",""mode"":1}")</f>
        <v>{"url":"https://us.pandora.net/on/demandware.static/-/Sites-pandora-master-catalog/default/dwbb259ca6/productimages/singlepackshot/793348C01_RGB.png","mode":1}</v>
      </c>
      <c r="D3240" s="5" t="str">
        <f ca="1">IFERROR(ROWSDUMMYFUNCTION(IF(A3240="","",CONCATENATE("https://us.pandora.net/on/demandware.static/-/Sites-pandora-master-catalog/default/dwbb259ca6/productimages/singlepackshot/",LEFT(A3240,FIND("-",A3240&amp;"-")-1),"_RGB.png"))),"https://us.pandora.net/on/demandware.static/-/Sites-pandora-master-catalog/default/dwbb259ca6/productimages/singlepackshot/793348C01_RGB.png")</f>
        <v>https://us.pandora.net/on/demandware.static/-/Sites-pandora-master-catalog/default/dwbb259ca6/productimages/singlepackshot/793348C01_RGB.png</v>
      </c>
    </row>
    <row r="3241" spans="1:4" x14ac:dyDescent="0.25">
      <c r="A3241" s="3" t="s">
        <v>3243</v>
      </c>
      <c r="B3241" s="4">
        <v>29</v>
      </c>
      <c r="C3241" s="3" t="str">
        <f ca="1">IFERROR(ROWSDUMMYFUNCTION(IF(A3241="","",IFERROR(IMAGE(CONCATENATE("https://us.pandora.net/on/demandware.static/-/Sites-pandora-master-catalog/default/dwbb259ca6/productimages/singlepackshot/",LEFT(A3241,FIND("-",A3241&amp;"-")-1),"_RGB.png")),""))),"{""url"":""https://us.pandora.net/on/demandware.static/-/Sites-pandora-master-catalog/default/dwbb259ca6/productimages/singlepackshot/793351C00_RGB.png"",""mode"":1}")</f>
        <v>{"url":"https://us.pandora.net/on/demandware.static/-/Sites-pandora-master-catalog/default/dwbb259ca6/productimages/singlepackshot/793351C00_RGB.png","mode":1}</v>
      </c>
      <c r="D3241" s="5" t="str">
        <f ca="1">IFERROR(ROWSDUMMYFUNCTION(IF(A3241="","",CONCATENATE("https://us.pandora.net/on/demandware.static/-/Sites-pandora-master-catalog/default/dwbb259ca6/productimages/singlepackshot/",LEFT(A3241,FIND("-",A3241&amp;"-")-1),"_RGB.png"))),"https://us.pandora.net/on/demandware.static/-/Sites-pandora-master-catalog/default/dwbb259ca6/productimages/singlepackshot/793351C00_RGB.png")</f>
        <v>https://us.pandora.net/on/demandware.static/-/Sites-pandora-master-catalog/default/dwbb259ca6/productimages/singlepackshot/793351C00_RGB.png</v>
      </c>
    </row>
    <row r="3242" spans="1:4" x14ac:dyDescent="0.25">
      <c r="A3242" s="3" t="s">
        <v>3244</v>
      </c>
      <c r="B3242" s="4">
        <v>55</v>
      </c>
      <c r="C3242" s="3" t="str">
        <f ca="1">IFERROR(ROWSDUMMYFUNCTION(IF(A3242="","",IFERROR(IMAGE(CONCATENATE("https://us.pandora.net/on/demandware.static/-/Sites-pandora-master-catalog/default/dwbb259ca6/productimages/singlepackshot/",LEFT(A3242,FIND("-",A3242&amp;"-")-1),"_RGB.png")),""))),"{""url"":""https://us.pandora.net/on/demandware.static/-/Sites-pandora-master-catalog/default/dwbb259ca6/productimages/singlepackshot/793352C01_RGB.png"",""mode"":1}")</f>
        <v>{"url":"https://us.pandora.net/on/demandware.static/-/Sites-pandora-master-catalog/default/dwbb259ca6/productimages/singlepackshot/793352C01_RGB.png","mode":1}</v>
      </c>
      <c r="D3242" s="5" t="str">
        <f ca="1">IFERROR(ROWSDUMMYFUNCTION(IF(A3242="","",CONCATENATE("https://us.pandora.net/on/demandware.static/-/Sites-pandora-master-catalog/default/dwbb259ca6/productimages/singlepackshot/",LEFT(A3242,FIND("-",A3242&amp;"-")-1),"_RGB.png"))),"https://us.pandora.net/on/demandware.static/-/Sites-pandora-master-catalog/default/dwbb259ca6/productimages/singlepackshot/793352C01_RGB.png")</f>
        <v>https://us.pandora.net/on/demandware.static/-/Sites-pandora-master-catalog/default/dwbb259ca6/productimages/singlepackshot/793352C01_RGB.png</v>
      </c>
    </row>
    <row r="3243" spans="1:4" x14ac:dyDescent="0.25">
      <c r="A3243" s="3" t="s">
        <v>3245</v>
      </c>
      <c r="B3243" s="4">
        <v>25</v>
      </c>
      <c r="C3243" s="3" t="str">
        <f ca="1">IFERROR(ROWSDUMMYFUNCTION(IF(A3243="","",IFERROR(IMAGE(CONCATENATE("https://us.pandora.net/on/demandware.static/-/Sites-pandora-master-catalog/default/dwbb259ca6/productimages/singlepackshot/",LEFT(A3243,FIND("-",A3243&amp;"-")-1),"_RGB.png")),""))),"{""url"":""https://us.pandora.net/on/demandware.static/-/Sites-pandora-master-catalog/default/dwbb259ca6/productimages/singlepackshot/793353C00_RGB.png"",""mode"":1}")</f>
        <v>{"url":"https://us.pandora.net/on/demandware.static/-/Sites-pandora-master-catalog/default/dwbb259ca6/productimages/singlepackshot/793353C00_RGB.png","mode":1}</v>
      </c>
      <c r="D3243" s="5" t="str">
        <f ca="1">IFERROR(ROWSDUMMYFUNCTION(IF(A3243="","",CONCATENATE("https://us.pandora.net/on/demandware.static/-/Sites-pandora-master-catalog/default/dwbb259ca6/productimages/singlepackshot/",LEFT(A3243,FIND("-",A3243&amp;"-")-1),"_RGB.png"))),"https://us.pandora.net/on/demandware.static/-/Sites-pandora-master-catalog/default/dwbb259ca6/productimages/singlepackshot/793353C00_RGB.png")</f>
        <v>https://us.pandora.net/on/demandware.static/-/Sites-pandora-master-catalog/default/dwbb259ca6/productimages/singlepackshot/793353C00_RGB.png</v>
      </c>
    </row>
    <row r="3244" spans="1:4" x14ac:dyDescent="0.25">
      <c r="A3244" s="3" t="s">
        <v>3246</v>
      </c>
      <c r="B3244" s="4">
        <v>79</v>
      </c>
      <c r="C3244" s="3" t="str">
        <f ca="1">IFERROR(ROWSDUMMYFUNCTION(IF(A3244="","",IFERROR(IMAGE(CONCATENATE("https://us.pandora.net/on/demandware.static/-/Sites-pandora-master-catalog/default/dwbb259ca6/productimages/singlepackshot/",LEFT(A3244,FIND("-",A3244&amp;"-")-1),"_RGB.png")),""))),"{""url"":""https://us.pandora.net/on/demandware.static/-/Sites-pandora-master-catalog/default/dwbb259ca6/productimages/singlepackshot/793357C01_RGB.png"",""mode"":1}")</f>
        <v>{"url":"https://us.pandora.net/on/demandware.static/-/Sites-pandora-master-catalog/default/dwbb259ca6/productimages/singlepackshot/793357C01_RGB.png","mode":1}</v>
      </c>
      <c r="D3244" s="5" t="str">
        <f ca="1">IFERROR(ROWSDUMMYFUNCTION(IF(A3244="","",CONCATENATE("https://us.pandora.net/on/demandware.static/-/Sites-pandora-master-catalog/default/dwbb259ca6/productimages/singlepackshot/",LEFT(A3244,FIND("-",A3244&amp;"-")-1),"_RGB.png"))),"https://us.pandora.net/on/demandware.static/-/Sites-pandora-master-catalog/default/dwbb259ca6/productimages/singlepackshot/793357C01_RGB.png")</f>
        <v>https://us.pandora.net/on/demandware.static/-/Sites-pandora-master-catalog/default/dwbb259ca6/productimages/singlepackshot/793357C01_RGB.png</v>
      </c>
    </row>
    <row r="3245" spans="1:4" x14ac:dyDescent="0.25">
      <c r="A3245" s="3" t="s">
        <v>3247</v>
      </c>
      <c r="B3245" s="4">
        <v>69</v>
      </c>
      <c r="C3245" s="3" t="str">
        <f ca="1">IFERROR(ROWSDUMMYFUNCTION(IF(A3245="","",IFERROR(IMAGE(CONCATENATE("https://us.pandora.net/on/demandware.static/-/Sites-pandora-master-catalog/default/dwbb259ca6/productimages/singlepackshot/",LEFT(A3245,FIND("-",A3245&amp;"-")-1),"_RGB.png")),""))),"{""url"":""https://us.pandora.net/on/demandware.static/-/Sites-pandora-master-catalog/default/dwbb259ca6/productimages/singlepackshot/793359C01_RGB.png"",""mode"":1}")</f>
        <v>{"url":"https://us.pandora.net/on/demandware.static/-/Sites-pandora-master-catalog/default/dwbb259ca6/productimages/singlepackshot/793359C01_RGB.png","mode":1}</v>
      </c>
      <c r="D3245" s="5" t="str">
        <f ca="1">IFERROR(ROWSDUMMYFUNCTION(IF(A3245="","",CONCATENATE("https://us.pandora.net/on/demandware.static/-/Sites-pandora-master-catalog/default/dwbb259ca6/productimages/singlepackshot/",LEFT(A3245,FIND("-",A3245&amp;"-")-1),"_RGB.png"))),"https://us.pandora.net/on/demandware.static/-/Sites-pandora-master-catalog/default/dwbb259ca6/productimages/singlepackshot/793359C01_RGB.png")</f>
        <v>https://us.pandora.net/on/demandware.static/-/Sites-pandora-master-catalog/default/dwbb259ca6/productimages/singlepackshot/793359C01_RGB.png</v>
      </c>
    </row>
    <row r="3246" spans="1:4" x14ac:dyDescent="0.25">
      <c r="A3246" s="3" t="s">
        <v>3248</v>
      </c>
      <c r="B3246" s="4">
        <v>69</v>
      </c>
      <c r="C3246" s="3" t="str">
        <f ca="1">IFERROR(ROWSDUMMYFUNCTION(IF(A3246="","",IFERROR(IMAGE(CONCATENATE("https://us.pandora.net/on/demandware.static/-/Sites-pandora-master-catalog/default/dwbb259ca6/productimages/singlepackshot/",LEFT(A3246,FIND("-",A3246&amp;"-")-1),"_RGB.png")),""))),"{""url"":""https://us.pandora.net/on/demandware.static/-/Sites-pandora-master-catalog/default/dwbb259ca6/productimages/singlepackshot/793360C01_RGB.png"",""mode"":1}")</f>
        <v>{"url":"https://us.pandora.net/on/demandware.static/-/Sites-pandora-master-catalog/default/dwbb259ca6/productimages/singlepackshot/793360C01_RGB.png","mode":1}</v>
      </c>
      <c r="D3246" s="5" t="str">
        <f ca="1">IFERROR(ROWSDUMMYFUNCTION(IF(A3246="","",CONCATENATE("https://us.pandora.net/on/demandware.static/-/Sites-pandora-master-catalog/default/dwbb259ca6/productimages/singlepackshot/",LEFT(A3246,FIND("-",A3246&amp;"-")-1),"_RGB.png"))),"https://us.pandora.net/on/demandware.static/-/Sites-pandora-master-catalog/default/dwbb259ca6/productimages/singlepackshot/793360C01_RGB.png")</f>
        <v>https://us.pandora.net/on/demandware.static/-/Sites-pandora-master-catalog/default/dwbb259ca6/productimages/singlepackshot/793360C01_RGB.png</v>
      </c>
    </row>
    <row r="3247" spans="1:4" x14ac:dyDescent="0.25">
      <c r="A3247" s="3" t="s">
        <v>3249</v>
      </c>
      <c r="B3247" s="4">
        <v>29</v>
      </c>
      <c r="C3247" s="3" t="str">
        <f ca="1">IFERROR(ROWSDUMMYFUNCTION(IF(A3247="","",IFERROR(IMAGE(CONCATENATE("https://us.pandora.net/on/demandware.static/-/Sites-pandora-master-catalog/default/dwbb259ca6/productimages/singlepackshot/",LEFT(A3247,FIND("-",A3247&amp;"-")-1),"_RGB.png")),""))),"{""url"":""https://us.pandora.net/on/demandware.static/-/Sites-pandora-master-catalog/default/dwbb259ca6/productimages/singlepackshot/793364C01_RGB.png"",""mode"":1}")</f>
        <v>{"url":"https://us.pandora.net/on/demandware.static/-/Sites-pandora-master-catalog/default/dwbb259ca6/productimages/singlepackshot/793364C01_RGB.png","mode":1}</v>
      </c>
      <c r="D3247" s="5" t="str">
        <f ca="1">IFERROR(ROWSDUMMYFUNCTION(IF(A3247="","",CONCATENATE("https://us.pandora.net/on/demandware.static/-/Sites-pandora-master-catalog/default/dwbb259ca6/productimages/singlepackshot/",LEFT(A3247,FIND("-",A3247&amp;"-")-1),"_RGB.png"))),"https://us.pandora.net/on/demandware.static/-/Sites-pandora-master-catalog/default/dwbb259ca6/productimages/singlepackshot/793364C01_RGB.png")</f>
        <v>https://us.pandora.net/on/demandware.static/-/Sites-pandora-master-catalog/default/dwbb259ca6/productimages/singlepackshot/793364C01_RGB.png</v>
      </c>
    </row>
    <row r="3248" spans="1:4" x14ac:dyDescent="0.25">
      <c r="A3248" s="3" t="s">
        <v>3250</v>
      </c>
      <c r="B3248" s="4">
        <v>49</v>
      </c>
      <c r="C3248" s="3" t="str">
        <f ca="1">IFERROR(ROWSDUMMYFUNCTION(IF(A3248="","",IFERROR(IMAGE(CONCATENATE("https://us.pandora.net/on/demandware.static/-/Sites-pandora-master-catalog/default/dwbb259ca6/productimages/singlepackshot/",LEFT(A3248,FIND("-",A3248&amp;"-")-1),"_RGB.png")),""))),"{""url"":""https://us.pandora.net/on/demandware.static/-/Sites-pandora-master-catalog/default/dwbb259ca6/productimages/singlepackshot/793367C01_RGB.png"",""mode"":1}")</f>
        <v>{"url":"https://us.pandora.net/on/demandware.static/-/Sites-pandora-master-catalog/default/dwbb259ca6/productimages/singlepackshot/793367C01_RGB.png","mode":1}</v>
      </c>
      <c r="D3248" s="5" t="str">
        <f ca="1">IFERROR(ROWSDUMMYFUNCTION(IF(A3248="","",CONCATENATE("https://us.pandora.net/on/demandware.static/-/Sites-pandora-master-catalog/default/dwbb259ca6/productimages/singlepackshot/",LEFT(A3248,FIND("-",A3248&amp;"-")-1),"_RGB.png"))),"https://us.pandora.net/on/demandware.static/-/Sites-pandora-master-catalog/default/dwbb259ca6/productimages/singlepackshot/793367C01_RGB.png")</f>
        <v>https://us.pandora.net/on/demandware.static/-/Sites-pandora-master-catalog/default/dwbb259ca6/productimages/singlepackshot/793367C01_RGB.png</v>
      </c>
    </row>
    <row r="3249" spans="1:4" x14ac:dyDescent="0.25">
      <c r="A3249" s="3" t="s">
        <v>3251</v>
      </c>
      <c r="B3249" s="4">
        <v>19</v>
      </c>
      <c r="C3249" s="3" t="str">
        <f ca="1">IFERROR(ROWSDUMMYFUNCTION(IF(A3249="","",IFERROR(IMAGE(CONCATENATE("https://us.pandora.net/on/demandware.static/-/Sites-pandora-master-catalog/default/dwbb259ca6/productimages/singlepackshot/",LEFT(A3249,FIND("-",A3249&amp;"-")-1),"_RGB.png")),""))),"{""url"":""https://us.pandora.net/on/demandware.static/-/Sites-pandora-master-catalog/default/dwbb259ca6/productimages/singlepackshot/793370C01_RGB.png"",""mode"":1}")</f>
        <v>{"url":"https://us.pandora.net/on/demandware.static/-/Sites-pandora-master-catalog/default/dwbb259ca6/productimages/singlepackshot/793370C01_RGB.png","mode":1}</v>
      </c>
      <c r="D3249" s="5" t="str">
        <f ca="1">IFERROR(ROWSDUMMYFUNCTION(IF(A3249="","",CONCATENATE("https://us.pandora.net/on/demandware.static/-/Sites-pandora-master-catalog/default/dwbb259ca6/productimages/singlepackshot/",LEFT(A3249,FIND("-",A3249&amp;"-")-1),"_RGB.png"))),"https://us.pandora.net/on/demandware.static/-/Sites-pandora-master-catalog/default/dwbb259ca6/productimages/singlepackshot/793370C01_RGB.png")</f>
        <v>https://us.pandora.net/on/demandware.static/-/Sites-pandora-master-catalog/default/dwbb259ca6/productimages/singlepackshot/793370C01_RGB.png</v>
      </c>
    </row>
    <row r="3250" spans="1:4" x14ac:dyDescent="0.25">
      <c r="A3250" s="3" t="s">
        <v>3252</v>
      </c>
      <c r="B3250" s="4">
        <v>35</v>
      </c>
      <c r="C3250" s="3" t="str">
        <f ca="1">IFERROR(ROWSDUMMYFUNCTION(IF(A3250="","",IFERROR(IMAGE(CONCATENATE("https://us.pandora.net/on/demandware.static/-/Sites-pandora-master-catalog/default/dwbb259ca6/productimages/singlepackshot/",LEFT(A3250,FIND("-",A3250&amp;"-")-1),"_RGB.png")),""))),"{""url"":""https://us.pandora.net/on/demandware.static/-/Sites-pandora-master-catalog/default/dwbb259ca6/productimages/singlepackshot/793388C01_RGB.png"",""mode"":1}")</f>
        <v>{"url":"https://us.pandora.net/on/demandware.static/-/Sites-pandora-master-catalog/default/dwbb259ca6/productimages/singlepackshot/793388C01_RGB.png","mode":1}</v>
      </c>
      <c r="D3250" s="5" t="str">
        <f ca="1">IFERROR(ROWSDUMMYFUNCTION(IF(A3250="","",CONCATENATE("https://us.pandora.net/on/demandware.static/-/Sites-pandora-master-catalog/default/dwbb259ca6/productimages/singlepackshot/",LEFT(A3250,FIND("-",A3250&amp;"-")-1),"_RGB.png"))),"https://us.pandora.net/on/demandware.static/-/Sites-pandora-master-catalog/default/dwbb259ca6/productimages/singlepackshot/793388C01_RGB.png")</f>
        <v>https://us.pandora.net/on/demandware.static/-/Sites-pandora-master-catalog/default/dwbb259ca6/productimages/singlepackshot/793388C01_RGB.png</v>
      </c>
    </row>
    <row r="3251" spans="1:4" x14ac:dyDescent="0.25">
      <c r="A3251" s="3" t="s">
        <v>3253</v>
      </c>
      <c r="B3251" s="4">
        <v>35</v>
      </c>
      <c r="C3251" s="3" t="str">
        <f ca="1">IFERROR(ROWSDUMMYFUNCTION(IF(A3251="","",IFERROR(IMAGE(CONCATENATE("https://us.pandora.net/on/demandware.static/-/Sites-pandora-master-catalog/default/dwbb259ca6/productimages/singlepackshot/",LEFT(A3251,FIND("-",A3251&amp;"-")-1),"_RGB.png")),""))),"{""url"":""https://us.pandora.net/on/demandware.static/-/Sites-pandora-master-catalog/default/dwbb259ca6/productimages/singlepackshot/793389C01_RGB.png"",""mode"":1}")</f>
        <v>{"url":"https://us.pandora.net/on/demandware.static/-/Sites-pandora-master-catalog/default/dwbb259ca6/productimages/singlepackshot/793389C01_RGB.png","mode":1}</v>
      </c>
      <c r="D3251" s="5" t="str">
        <f ca="1">IFERROR(ROWSDUMMYFUNCTION(IF(A3251="","",CONCATENATE("https://us.pandora.net/on/demandware.static/-/Sites-pandora-master-catalog/default/dwbb259ca6/productimages/singlepackshot/",LEFT(A3251,FIND("-",A3251&amp;"-")-1),"_RGB.png"))),"https://us.pandora.net/on/demandware.static/-/Sites-pandora-master-catalog/default/dwbb259ca6/productimages/singlepackshot/793389C01_RGB.png")</f>
        <v>https://us.pandora.net/on/demandware.static/-/Sites-pandora-master-catalog/default/dwbb259ca6/productimages/singlepackshot/793389C01_RGB.png</v>
      </c>
    </row>
    <row r="3252" spans="1:4" x14ac:dyDescent="0.25">
      <c r="A3252" s="3" t="s">
        <v>3254</v>
      </c>
      <c r="B3252" s="4">
        <v>59</v>
      </c>
      <c r="C3252" s="3" t="str">
        <f ca="1">IFERROR(ROWSDUMMYFUNCTION(IF(A3252="","",IFERROR(IMAGE(CONCATENATE("https://us.pandora.net/on/demandware.static/-/Sites-pandora-master-catalog/default/dwbb259ca6/productimages/singlepackshot/",LEFT(A3252,FIND("-",A3252&amp;"-")-1),"_RGB.png")),""))),"{""url"":""https://us.pandora.net/on/demandware.static/-/Sites-pandora-master-catalog/default/dwbb259ca6/productimages/singlepackshot/793404C01_RGB.png"",""mode"":1}")</f>
        <v>{"url":"https://us.pandora.net/on/demandware.static/-/Sites-pandora-master-catalog/default/dwbb259ca6/productimages/singlepackshot/793404C01_RGB.png","mode":1}</v>
      </c>
      <c r="D3252" s="5" t="str">
        <f ca="1">IFERROR(ROWSDUMMYFUNCTION(IF(A3252="","",CONCATENATE("https://us.pandora.net/on/demandware.static/-/Sites-pandora-master-catalog/default/dwbb259ca6/productimages/singlepackshot/",LEFT(A3252,FIND("-",A3252&amp;"-")-1),"_RGB.png"))),"https://us.pandora.net/on/demandware.static/-/Sites-pandora-master-catalog/default/dwbb259ca6/productimages/singlepackshot/793404C01_RGB.png")</f>
        <v>https://us.pandora.net/on/demandware.static/-/Sites-pandora-master-catalog/default/dwbb259ca6/productimages/singlepackshot/793404C01_RGB.png</v>
      </c>
    </row>
    <row r="3253" spans="1:4" x14ac:dyDescent="0.25">
      <c r="A3253" s="3" t="s">
        <v>3255</v>
      </c>
      <c r="B3253" s="4">
        <v>29</v>
      </c>
      <c r="C3253" s="3" t="str">
        <f ca="1">IFERROR(ROWSDUMMYFUNCTION(IF(A3253="","",IFERROR(IMAGE(CONCATENATE("https://us.pandora.net/on/demandware.static/-/Sites-pandora-master-catalog/default/dwbb259ca6/productimages/singlepackshot/",LEFT(A3253,FIND("-",A3253&amp;"-")-1),"_RGB.png")),""))),"{""url"":""https://us.pandora.net/on/demandware.static/-/Sites-pandora-master-catalog/default/dwbb259ca6/productimages/singlepackshot/793411C01_RGB.png"",""mode"":1}")</f>
        <v>{"url":"https://us.pandora.net/on/demandware.static/-/Sites-pandora-master-catalog/default/dwbb259ca6/productimages/singlepackshot/793411C01_RGB.png","mode":1}</v>
      </c>
      <c r="D3253" s="5" t="str">
        <f ca="1">IFERROR(ROWSDUMMYFUNCTION(IF(A3253="","",CONCATENATE("https://us.pandora.net/on/demandware.static/-/Sites-pandora-master-catalog/default/dwbb259ca6/productimages/singlepackshot/",LEFT(A3253,FIND("-",A3253&amp;"-")-1),"_RGB.png"))),"https://us.pandora.net/on/demandware.static/-/Sites-pandora-master-catalog/default/dwbb259ca6/productimages/singlepackshot/793411C01_RGB.png")</f>
        <v>https://us.pandora.net/on/demandware.static/-/Sites-pandora-master-catalog/default/dwbb259ca6/productimages/singlepackshot/793411C01_RGB.png</v>
      </c>
    </row>
    <row r="3254" spans="1:4" x14ac:dyDescent="0.25">
      <c r="A3254" s="3" t="s">
        <v>3256</v>
      </c>
      <c r="B3254" s="4">
        <v>59</v>
      </c>
      <c r="C3254" s="3" t="str">
        <f ca="1">IFERROR(ROWSDUMMYFUNCTION(IF(A3254="","",IFERROR(IMAGE(CONCATENATE("https://us.pandora.net/on/demandware.static/-/Sites-pandora-master-catalog/default/dwbb259ca6/productimages/singlepackshot/",LEFT(A3254,FIND("-",A3254&amp;"-")-1),"_RGB.png")),""))),"{""url"":""https://us.pandora.net/on/demandware.static/-/Sites-pandora-master-catalog/default/dwbb259ca6/productimages/singlepackshot/793420C01_RGB.png"",""mode"":1}")</f>
        <v>{"url":"https://us.pandora.net/on/demandware.static/-/Sites-pandora-master-catalog/default/dwbb259ca6/productimages/singlepackshot/793420C01_RGB.png","mode":1}</v>
      </c>
      <c r="D3254" s="5" t="str">
        <f ca="1">IFERROR(ROWSDUMMYFUNCTION(IF(A3254="","",CONCATENATE("https://us.pandora.net/on/demandware.static/-/Sites-pandora-master-catalog/default/dwbb259ca6/productimages/singlepackshot/",LEFT(A3254,FIND("-",A3254&amp;"-")-1),"_RGB.png"))),"https://us.pandora.net/on/demandware.static/-/Sites-pandora-master-catalog/default/dwbb259ca6/productimages/singlepackshot/793420C01_RGB.png")</f>
        <v>https://us.pandora.net/on/demandware.static/-/Sites-pandora-master-catalog/default/dwbb259ca6/productimages/singlepackshot/793420C01_RGB.png</v>
      </c>
    </row>
    <row r="3255" spans="1:4" x14ac:dyDescent="0.25">
      <c r="A3255" s="3" t="s">
        <v>3257</v>
      </c>
      <c r="B3255" s="4">
        <v>69</v>
      </c>
      <c r="C3255" s="3" t="str">
        <f ca="1">IFERROR(ROWSDUMMYFUNCTION(IF(A3255="","",IFERROR(IMAGE(CONCATENATE("https://us.pandora.net/on/demandware.static/-/Sites-pandora-master-catalog/default/dwbb259ca6/productimages/singlepackshot/",LEFT(A3255,FIND("-",A3255&amp;"-")-1),"_RGB.png")),""))),"{""url"":""https://us.pandora.net/on/demandware.static/-/Sites-pandora-master-catalog/default/dwbb259ca6/productimages/singlepackshot/793423C01_RGB.png"",""mode"":1}")</f>
        <v>{"url":"https://us.pandora.net/on/demandware.static/-/Sites-pandora-master-catalog/default/dwbb259ca6/productimages/singlepackshot/793423C01_RGB.png","mode":1}</v>
      </c>
      <c r="D3255" s="5" t="str">
        <f ca="1">IFERROR(ROWSDUMMYFUNCTION(IF(A3255="","",CONCATENATE("https://us.pandora.net/on/demandware.static/-/Sites-pandora-master-catalog/default/dwbb259ca6/productimages/singlepackshot/",LEFT(A3255,FIND("-",A3255&amp;"-")-1),"_RGB.png"))),"https://us.pandora.net/on/demandware.static/-/Sites-pandora-master-catalog/default/dwbb259ca6/productimages/singlepackshot/793423C01_RGB.png")</f>
        <v>https://us.pandora.net/on/demandware.static/-/Sites-pandora-master-catalog/default/dwbb259ca6/productimages/singlepackshot/793423C01_RGB.png</v>
      </c>
    </row>
    <row r="3256" spans="1:4" x14ac:dyDescent="0.25">
      <c r="A3256" s="3" t="s">
        <v>3258</v>
      </c>
      <c r="B3256" s="4">
        <v>69</v>
      </c>
      <c r="C3256" s="3" t="str">
        <f ca="1">IFERROR(ROWSDUMMYFUNCTION(IF(A3256="","",IFERROR(IMAGE(CONCATENATE("https://us.pandora.net/on/demandware.static/-/Sites-pandora-master-catalog/default/dwbb259ca6/productimages/singlepackshot/",LEFT(A3256,FIND("-",A3256&amp;"-")-1),"_RGB.png")),""))),"{""url"":""https://us.pandora.net/on/demandware.static/-/Sites-pandora-master-catalog/default/dwbb259ca6/productimages/singlepackshot/793424C01_RGB.png"",""mode"":1}")</f>
        <v>{"url":"https://us.pandora.net/on/demandware.static/-/Sites-pandora-master-catalog/default/dwbb259ca6/productimages/singlepackshot/793424C01_RGB.png","mode":1}</v>
      </c>
      <c r="D3256" s="5" t="str">
        <f ca="1">IFERROR(ROWSDUMMYFUNCTION(IF(A3256="","",CONCATENATE("https://us.pandora.net/on/demandware.static/-/Sites-pandora-master-catalog/default/dwbb259ca6/productimages/singlepackshot/",LEFT(A3256,FIND("-",A3256&amp;"-")-1),"_RGB.png"))),"https://us.pandora.net/on/demandware.static/-/Sites-pandora-master-catalog/default/dwbb259ca6/productimages/singlepackshot/793424C01_RGB.png")</f>
        <v>https://us.pandora.net/on/demandware.static/-/Sites-pandora-master-catalog/default/dwbb259ca6/productimages/singlepackshot/793424C01_RGB.png</v>
      </c>
    </row>
    <row r="3257" spans="1:4" x14ac:dyDescent="0.25">
      <c r="A3257" s="3" t="s">
        <v>3259</v>
      </c>
      <c r="B3257" s="4">
        <v>65</v>
      </c>
      <c r="C3257" s="3" t="str">
        <f ca="1">IFERROR(ROWSDUMMYFUNCTION(IF(A3257="","",IFERROR(IMAGE(CONCATENATE("https://us.pandora.net/on/demandware.static/-/Sites-pandora-master-catalog/default/dwbb259ca6/productimages/singlepackshot/",LEFT(A3257,FIND("-",A3257&amp;"-")-1),"_RGB.png")),""))),"{""url"":""https://us.pandora.net/on/demandware.static/-/Sites-pandora-master-catalog/default/dwbb259ca6/productimages/singlepackshot/793434C01_RGB.png"",""mode"":1}")</f>
        <v>{"url":"https://us.pandora.net/on/demandware.static/-/Sites-pandora-master-catalog/default/dwbb259ca6/productimages/singlepackshot/793434C01_RGB.png","mode":1}</v>
      </c>
      <c r="D3257" s="5" t="str">
        <f ca="1">IFERROR(ROWSDUMMYFUNCTION(IF(A3257="","",CONCATENATE("https://us.pandora.net/on/demandware.static/-/Sites-pandora-master-catalog/default/dwbb259ca6/productimages/singlepackshot/",LEFT(A3257,FIND("-",A3257&amp;"-")-1),"_RGB.png"))),"https://us.pandora.net/on/demandware.static/-/Sites-pandora-master-catalog/default/dwbb259ca6/productimages/singlepackshot/793434C01_RGB.png")</f>
        <v>https://us.pandora.net/on/demandware.static/-/Sites-pandora-master-catalog/default/dwbb259ca6/productimages/singlepackshot/793434C01_RGB.png</v>
      </c>
    </row>
    <row r="3258" spans="1:4" x14ac:dyDescent="0.25">
      <c r="A3258" s="3" t="s">
        <v>3260</v>
      </c>
      <c r="B3258" s="4">
        <v>29</v>
      </c>
      <c r="C3258" s="3" t="str">
        <f ca="1">IFERROR(ROWSDUMMYFUNCTION(IF(A3258="","",IFERROR(IMAGE(CONCATENATE("https://us.pandora.net/on/demandware.static/-/Sites-pandora-master-catalog/default/dwbb259ca6/productimages/singlepackshot/",LEFT(A3258,FIND("-",A3258&amp;"-")-1),"_RGB.png")),""))),"{""url"":""https://us.pandora.net/on/demandware.static/-/Sites-pandora-master-catalog/default/dwbb259ca6/productimages/singlepackshot/793439C00_RGB.png"",""mode"":1}")</f>
        <v>{"url":"https://us.pandora.net/on/demandware.static/-/Sites-pandora-master-catalog/default/dwbb259ca6/productimages/singlepackshot/793439C00_RGB.png","mode":1}</v>
      </c>
      <c r="D3258" s="5" t="str">
        <f ca="1">IFERROR(ROWSDUMMYFUNCTION(IF(A3258="","",CONCATENATE("https://us.pandora.net/on/demandware.static/-/Sites-pandora-master-catalog/default/dwbb259ca6/productimages/singlepackshot/",LEFT(A3258,FIND("-",A3258&amp;"-")-1),"_RGB.png"))),"https://us.pandora.net/on/demandware.static/-/Sites-pandora-master-catalog/default/dwbb259ca6/productimages/singlepackshot/793439C00_RGB.png")</f>
        <v>https://us.pandora.net/on/demandware.static/-/Sites-pandora-master-catalog/default/dwbb259ca6/productimages/singlepackshot/793439C00_RGB.png</v>
      </c>
    </row>
    <row r="3259" spans="1:4" x14ac:dyDescent="0.25">
      <c r="A3259" s="3" t="s">
        <v>3261</v>
      </c>
      <c r="B3259" s="4">
        <v>59</v>
      </c>
      <c r="C3259" s="3" t="str">
        <f ca="1">IFERROR(ROWSDUMMYFUNCTION(IF(A3259="","",IFERROR(IMAGE(CONCATENATE("https://us.pandora.net/on/demandware.static/-/Sites-pandora-master-catalog/default/dwbb259ca6/productimages/singlepackshot/",LEFT(A3259,FIND("-",A3259&amp;"-")-1),"_RGB.png")),""))),"{""url"":""https://us.pandora.net/on/demandware.static/-/Sites-pandora-master-catalog/default/dwbb259ca6/productimages/singlepackshot/793440C00_RGB.png"",""mode"":1}")</f>
        <v>{"url":"https://us.pandora.net/on/demandware.static/-/Sites-pandora-master-catalog/default/dwbb259ca6/productimages/singlepackshot/793440C00_RGB.png","mode":1}</v>
      </c>
      <c r="D3259" s="5" t="str">
        <f ca="1">IFERROR(ROWSDUMMYFUNCTION(IF(A3259="","",CONCATENATE("https://us.pandora.net/on/demandware.static/-/Sites-pandora-master-catalog/default/dwbb259ca6/productimages/singlepackshot/",LEFT(A3259,FIND("-",A3259&amp;"-")-1),"_RGB.png"))),"https://us.pandora.net/on/demandware.static/-/Sites-pandora-master-catalog/default/dwbb259ca6/productimages/singlepackshot/793440C00_RGB.png")</f>
        <v>https://us.pandora.net/on/demandware.static/-/Sites-pandora-master-catalog/default/dwbb259ca6/productimages/singlepackshot/793440C00_RGB.png</v>
      </c>
    </row>
    <row r="3260" spans="1:4" x14ac:dyDescent="0.25">
      <c r="A3260" s="3" t="s">
        <v>3262</v>
      </c>
      <c r="B3260" s="4">
        <v>45</v>
      </c>
      <c r="C3260" s="3" t="str">
        <f ca="1">IFERROR(ROWSDUMMYFUNCTION(IF(A3260="","",IFERROR(IMAGE(CONCATENATE("https://us.pandora.net/on/demandware.static/-/Sites-pandora-master-catalog/default/dwbb259ca6/productimages/singlepackshot/",LEFT(A3260,FIND("-",A3260&amp;"-")-1),"_RGB.png")),""))),"{""url"":""https://us.pandora.net/on/demandware.static/-/Sites-pandora-master-catalog/default/dwbb259ca6/productimages/singlepackshot/793442C01_RGB.png"",""mode"":1}")</f>
        <v>{"url":"https://us.pandora.net/on/demandware.static/-/Sites-pandora-master-catalog/default/dwbb259ca6/productimages/singlepackshot/793442C01_RGB.png","mode":1}</v>
      </c>
      <c r="D3260" s="5" t="str">
        <f ca="1">IFERROR(ROWSDUMMYFUNCTION(IF(A3260="","",CONCATENATE("https://us.pandora.net/on/demandware.static/-/Sites-pandora-master-catalog/default/dwbb259ca6/productimages/singlepackshot/",LEFT(A3260,FIND("-",A3260&amp;"-")-1),"_RGB.png"))),"https://us.pandora.net/on/demandware.static/-/Sites-pandora-master-catalog/default/dwbb259ca6/productimages/singlepackshot/793442C01_RGB.png")</f>
        <v>https://us.pandora.net/on/demandware.static/-/Sites-pandora-master-catalog/default/dwbb259ca6/productimages/singlepackshot/793442C01_RGB.png</v>
      </c>
    </row>
    <row r="3261" spans="1:4" x14ac:dyDescent="0.25">
      <c r="A3261" s="3" t="s">
        <v>3263</v>
      </c>
      <c r="B3261" s="4">
        <v>25</v>
      </c>
      <c r="C3261" s="3" t="str">
        <f ca="1">IFERROR(ROWSDUMMYFUNCTION(IF(A3261="","",IFERROR(IMAGE(CONCATENATE("https://us.pandora.net/on/demandware.static/-/Sites-pandora-master-catalog/default/dwbb259ca6/productimages/singlepackshot/",LEFT(A3261,FIND("-",A3261&amp;"-")-1),"_RGB.png")),""))),"{""url"":""https://us.pandora.net/on/demandware.static/-/Sites-pandora-master-catalog/default/dwbb259ca6/productimages/singlepackshot/793448C01_RGB.png"",""mode"":1}")</f>
        <v>{"url":"https://us.pandora.net/on/demandware.static/-/Sites-pandora-master-catalog/default/dwbb259ca6/productimages/singlepackshot/793448C01_RGB.png","mode":1}</v>
      </c>
      <c r="D3261" s="5" t="str">
        <f ca="1">IFERROR(ROWSDUMMYFUNCTION(IF(A3261="","",CONCATENATE("https://us.pandora.net/on/demandware.static/-/Sites-pandora-master-catalog/default/dwbb259ca6/productimages/singlepackshot/",LEFT(A3261,FIND("-",A3261&amp;"-")-1),"_RGB.png"))),"https://us.pandora.net/on/demandware.static/-/Sites-pandora-master-catalog/default/dwbb259ca6/productimages/singlepackshot/793448C01_RGB.png")</f>
        <v>https://us.pandora.net/on/demandware.static/-/Sites-pandora-master-catalog/default/dwbb259ca6/productimages/singlepackshot/793448C01_RGB.png</v>
      </c>
    </row>
    <row r="3262" spans="1:4" x14ac:dyDescent="0.25">
      <c r="A3262" s="3" t="s">
        <v>3264</v>
      </c>
      <c r="B3262" s="4">
        <v>29</v>
      </c>
      <c r="C3262" s="3" t="str">
        <f ca="1">IFERROR(ROWSDUMMYFUNCTION(IF(A3262="","",IFERROR(IMAGE(CONCATENATE("https://us.pandora.net/on/demandware.static/-/Sites-pandora-master-catalog/default/dwbb259ca6/productimages/singlepackshot/",LEFT(A3262,FIND("-",A3262&amp;"-")-1),"_RGB.png")),""))),"{""url"":""https://us.pandora.net/on/demandware.static/-/Sites-pandora-master-catalog/default/dwbb259ca6/productimages/singlepackshot/793449C00_RGB.png"",""mode"":1}")</f>
        <v>{"url":"https://us.pandora.net/on/demandware.static/-/Sites-pandora-master-catalog/default/dwbb259ca6/productimages/singlepackshot/793449C00_RGB.png","mode":1}</v>
      </c>
      <c r="D3262" s="5" t="str">
        <f ca="1">IFERROR(ROWSDUMMYFUNCTION(IF(A3262="","",CONCATENATE("https://us.pandora.net/on/demandware.static/-/Sites-pandora-master-catalog/default/dwbb259ca6/productimages/singlepackshot/",LEFT(A3262,FIND("-",A3262&amp;"-")-1),"_RGB.png"))),"https://us.pandora.net/on/demandware.static/-/Sites-pandora-master-catalog/default/dwbb259ca6/productimages/singlepackshot/793449C00_RGB.png")</f>
        <v>https://us.pandora.net/on/demandware.static/-/Sites-pandora-master-catalog/default/dwbb259ca6/productimages/singlepackshot/793449C00_RGB.png</v>
      </c>
    </row>
    <row r="3263" spans="1:4" x14ac:dyDescent="0.25">
      <c r="A3263" s="3" t="s">
        <v>3265</v>
      </c>
      <c r="B3263" s="4">
        <v>29</v>
      </c>
      <c r="C3263" s="3" t="str">
        <f ca="1">IFERROR(ROWSDUMMYFUNCTION(IF(A3263="","",IFERROR(IMAGE(CONCATENATE("https://us.pandora.net/on/demandware.static/-/Sites-pandora-master-catalog/default/dwbb259ca6/productimages/singlepackshot/",LEFT(A3263,FIND("-",A3263&amp;"-")-1),"_RGB.png")),""))),"{""url"":""https://us.pandora.net/on/demandware.static/-/Sites-pandora-master-catalog/default/dwbb259ca6/productimages/singlepackshot/793450C01_RGB.png"",""mode"":1}")</f>
        <v>{"url":"https://us.pandora.net/on/demandware.static/-/Sites-pandora-master-catalog/default/dwbb259ca6/productimages/singlepackshot/793450C01_RGB.png","mode":1}</v>
      </c>
      <c r="D3263" s="5" t="str">
        <f ca="1">IFERROR(ROWSDUMMYFUNCTION(IF(A3263="","",CONCATENATE("https://us.pandora.net/on/demandware.static/-/Sites-pandora-master-catalog/default/dwbb259ca6/productimages/singlepackshot/",LEFT(A3263,FIND("-",A3263&amp;"-")-1),"_RGB.png"))),"https://us.pandora.net/on/demandware.static/-/Sites-pandora-master-catalog/default/dwbb259ca6/productimages/singlepackshot/793450C01_RGB.png")</f>
        <v>https://us.pandora.net/on/demandware.static/-/Sites-pandora-master-catalog/default/dwbb259ca6/productimages/singlepackshot/793450C01_RGB.png</v>
      </c>
    </row>
    <row r="3264" spans="1:4" x14ac:dyDescent="0.25">
      <c r="A3264" s="3" t="s">
        <v>3266</v>
      </c>
      <c r="B3264" s="4">
        <v>19</v>
      </c>
      <c r="C3264" s="3" t="str">
        <f ca="1">IFERROR(ROWSDUMMYFUNCTION(IF(A3264="","",IFERROR(IMAGE(CONCATENATE("https://us.pandora.net/on/demandware.static/-/Sites-pandora-master-catalog/default/dwbb259ca6/productimages/singlepackshot/",LEFT(A3264,FIND("-",A3264&amp;"-")-1),"_RGB.png")),""))),"{""url"":""https://us.pandora.net/on/demandware.static/-/Sites-pandora-master-catalog/default/dwbb259ca6/productimages/singlepackshot/793451C01_RGB.png"",""mode"":1}")</f>
        <v>{"url":"https://us.pandora.net/on/demandware.static/-/Sites-pandora-master-catalog/default/dwbb259ca6/productimages/singlepackshot/793451C01_RGB.png","mode":1}</v>
      </c>
      <c r="D3264" s="5" t="str">
        <f ca="1">IFERROR(ROWSDUMMYFUNCTION(IF(A3264="","",CONCATENATE("https://us.pandora.net/on/demandware.static/-/Sites-pandora-master-catalog/default/dwbb259ca6/productimages/singlepackshot/",LEFT(A3264,FIND("-",A3264&amp;"-")-1),"_RGB.png"))),"https://us.pandora.net/on/demandware.static/-/Sites-pandora-master-catalog/default/dwbb259ca6/productimages/singlepackshot/793451C01_RGB.png")</f>
        <v>https://us.pandora.net/on/demandware.static/-/Sites-pandora-master-catalog/default/dwbb259ca6/productimages/singlepackshot/793451C01_RGB.png</v>
      </c>
    </row>
    <row r="3265" spans="1:4" x14ac:dyDescent="0.25">
      <c r="A3265" s="3" t="s">
        <v>3267</v>
      </c>
      <c r="B3265" s="4">
        <v>25</v>
      </c>
      <c r="C3265" s="3" t="str">
        <f ca="1">IFERROR(ROWSDUMMYFUNCTION(IF(A3265="","",IFERROR(IMAGE(CONCATENATE("https://us.pandora.net/on/demandware.static/-/Sites-pandora-master-catalog/default/dwbb259ca6/productimages/singlepackshot/",LEFT(A3265,FIND("-",A3265&amp;"-")-1),"_RGB.png")),""))),"{""url"":""https://us.pandora.net/on/demandware.static/-/Sites-pandora-master-catalog/default/dwbb259ca6/productimages/singlepackshot/793452C01_RGB.png"",""mode"":1}")</f>
        <v>{"url":"https://us.pandora.net/on/demandware.static/-/Sites-pandora-master-catalog/default/dwbb259ca6/productimages/singlepackshot/793452C01_RGB.png","mode":1}</v>
      </c>
      <c r="D3265" s="5" t="str">
        <f ca="1">IFERROR(ROWSDUMMYFUNCTION(IF(A3265="","",CONCATENATE("https://us.pandora.net/on/demandware.static/-/Sites-pandora-master-catalog/default/dwbb259ca6/productimages/singlepackshot/",LEFT(A3265,FIND("-",A3265&amp;"-")-1),"_RGB.png"))),"https://us.pandora.net/on/demandware.static/-/Sites-pandora-master-catalog/default/dwbb259ca6/productimages/singlepackshot/793452C01_RGB.png")</f>
        <v>https://us.pandora.net/on/demandware.static/-/Sites-pandora-master-catalog/default/dwbb259ca6/productimages/singlepackshot/793452C01_RGB.png</v>
      </c>
    </row>
    <row r="3266" spans="1:4" x14ac:dyDescent="0.25">
      <c r="A3266" s="3" t="s">
        <v>3268</v>
      </c>
      <c r="B3266" s="4">
        <v>59</v>
      </c>
      <c r="C3266" s="3" t="str">
        <f ca="1">IFERROR(ROWSDUMMYFUNCTION(IF(A3266="","",IFERROR(IMAGE(CONCATENATE("https://us.pandora.net/on/demandware.static/-/Sites-pandora-master-catalog/default/dwbb259ca6/productimages/singlepackshot/",LEFT(A3266,FIND("-",A3266&amp;"-")-1),"_RGB.png")),""))),"{""url"":""https://us.pandora.net/on/demandware.static/-/Sites-pandora-master-catalog/default/dwbb259ca6/productimages/singlepackshot/793463C01_RGB.png"",""mode"":1}")</f>
        <v>{"url":"https://us.pandora.net/on/demandware.static/-/Sites-pandora-master-catalog/default/dwbb259ca6/productimages/singlepackshot/793463C01_RGB.png","mode":1}</v>
      </c>
      <c r="D3266" s="5" t="str">
        <f ca="1">IFERROR(ROWSDUMMYFUNCTION(IF(A3266="","",CONCATENATE("https://us.pandora.net/on/demandware.static/-/Sites-pandora-master-catalog/default/dwbb259ca6/productimages/singlepackshot/",LEFT(A3266,FIND("-",A3266&amp;"-")-1),"_RGB.png"))),"https://us.pandora.net/on/demandware.static/-/Sites-pandora-master-catalog/default/dwbb259ca6/productimages/singlepackshot/793463C01_RGB.png")</f>
        <v>https://us.pandora.net/on/demandware.static/-/Sites-pandora-master-catalog/default/dwbb259ca6/productimages/singlepackshot/793463C01_RGB.png</v>
      </c>
    </row>
    <row r="3267" spans="1:4" x14ac:dyDescent="0.25">
      <c r="A3267" s="3" t="s">
        <v>3269</v>
      </c>
      <c r="B3267" s="4">
        <v>55</v>
      </c>
      <c r="C3267" s="3" t="str">
        <f ca="1">IFERROR(ROWSDUMMYFUNCTION(IF(A3267="","",IFERROR(IMAGE(CONCATENATE("https://us.pandora.net/on/demandware.static/-/Sites-pandora-master-catalog/default/dwbb259ca6/productimages/singlepackshot/",LEFT(A3267,FIND("-",A3267&amp;"-")-1),"_RGB.png")),""))),"{""url"":""https://us.pandora.net/on/demandware.static/-/Sites-pandora-master-catalog/default/dwbb259ca6/productimages/singlepackshot/793512C01_RGB.png"",""mode"":1}")</f>
        <v>{"url":"https://us.pandora.net/on/demandware.static/-/Sites-pandora-master-catalog/default/dwbb259ca6/productimages/singlepackshot/793512C01_RGB.png","mode":1}</v>
      </c>
      <c r="D3267" s="5" t="str">
        <f ca="1">IFERROR(ROWSDUMMYFUNCTION(IF(A3267="","",CONCATENATE("https://us.pandora.net/on/demandware.static/-/Sites-pandora-master-catalog/default/dwbb259ca6/productimages/singlepackshot/",LEFT(A3267,FIND("-",A3267&amp;"-")-1),"_RGB.png"))),"https://us.pandora.net/on/demandware.static/-/Sites-pandora-master-catalog/default/dwbb259ca6/productimages/singlepackshot/793512C01_RGB.png")</f>
        <v>https://us.pandora.net/on/demandware.static/-/Sites-pandora-master-catalog/default/dwbb259ca6/productimages/singlepackshot/793512C01_RGB.png</v>
      </c>
    </row>
    <row r="3268" spans="1:4" x14ac:dyDescent="0.25">
      <c r="A3268" s="3" t="s">
        <v>3270</v>
      </c>
      <c r="B3268" s="4">
        <v>59</v>
      </c>
      <c r="C3268" s="3" t="str">
        <f ca="1">IFERROR(ROWSDUMMYFUNCTION(IF(A3268="","",IFERROR(IMAGE(CONCATENATE("https://us.pandora.net/on/demandware.static/-/Sites-pandora-master-catalog/default/dwbb259ca6/productimages/singlepackshot/",LEFT(A3268,FIND("-",A3268&amp;"-")-1),"_RGB.png")),""))),"{""url"":""https://us.pandora.net/on/demandware.static/-/Sites-pandora-master-catalog/default/dwbb259ca6/productimages/singlepackshot/793514C01_RGB.png"",""mode"":1}")</f>
        <v>{"url":"https://us.pandora.net/on/demandware.static/-/Sites-pandora-master-catalog/default/dwbb259ca6/productimages/singlepackshot/793514C01_RGB.png","mode":1}</v>
      </c>
      <c r="D3268" s="5" t="str">
        <f ca="1">IFERROR(ROWSDUMMYFUNCTION(IF(A3268="","",CONCATENATE("https://us.pandora.net/on/demandware.static/-/Sites-pandora-master-catalog/default/dwbb259ca6/productimages/singlepackshot/",LEFT(A3268,FIND("-",A3268&amp;"-")-1),"_RGB.png"))),"https://us.pandora.net/on/demandware.static/-/Sites-pandora-master-catalog/default/dwbb259ca6/productimages/singlepackshot/793514C01_RGB.png")</f>
        <v>https://us.pandora.net/on/demandware.static/-/Sites-pandora-master-catalog/default/dwbb259ca6/productimages/singlepackshot/793514C01_RGB.png</v>
      </c>
    </row>
    <row r="3269" spans="1:4" x14ac:dyDescent="0.25">
      <c r="A3269" s="3" t="s">
        <v>3271</v>
      </c>
      <c r="B3269" s="4">
        <v>59</v>
      </c>
      <c r="C3269" s="3" t="str">
        <f ca="1">IFERROR(ROWSDUMMYFUNCTION(IF(A3269="","",IFERROR(IMAGE(CONCATENATE("https://us.pandora.net/on/demandware.static/-/Sites-pandora-master-catalog/default/dwbb259ca6/productimages/singlepackshot/",LEFT(A3269,FIND("-",A3269&amp;"-")-1),"_RGB.png")),""))),"{""url"":""https://us.pandora.net/on/demandware.static/-/Sites-pandora-master-catalog/default/dwbb259ca6/productimages/singlepackshot/793530C01_RGB.png"",""mode"":1}")</f>
        <v>{"url":"https://us.pandora.net/on/demandware.static/-/Sites-pandora-master-catalog/default/dwbb259ca6/productimages/singlepackshot/793530C01_RGB.png","mode":1}</v>
      </c>
      <c r="D3269" s="5" t="str">
        <f ca="1">IFERROR(ROWSDUMMYFUNCTION(IF(A3269="","",CONCATENATE("https://us.pandora.net/on/demandware.static/-/Sites-pandora-master-catalog/default/dwbb259ca6/productimages/singlepackshot/",LEFT(A3269,FIND("-",A3269&amp;"-")-1),"_RGB.png"))),"https://us.pandora.net/on/demandware.static/-/Sites-pandora-master-catalog/default/dwbb259ca6/productimages/singlepackshot/793530C01_RGB.png")</f>
        <v>https://us.pandora.net/on/demandware.static/-/Sites-pandora-master-catalog/default/dwbb259ca6/productimages/singlepackshot/793530C01_RGB.png</v>
      </c>
    </row>
    <row r="3270" spans="1:4" x14ac:dyDescent="0.25">
      <c r="A3270" s="3" t="s">
        <v>3272</v>
      </c>
      <c r="B3270" s="4">
        <v>49</v>
      </c>
      <c r="C3270" s="3" t="str">
        <f ca="1">IFERROR(ROWSDUMMYFUNCTION(IF(A3270="","",IFERROR(IMAGE(CONCATENATE("https://us.pandora.net/on/demandware.static/-/Sites-pandora-master-catalog/default/dwbb259ca6/productimages/singlepackshot/",LEFT(A3270,FIND("-",A3270&amp;"-")-1),"_RGB.png")),""))),"{""url"":""https://us.pandora.net/on/demandware.static/-/Sites-pandora-master-catalog/default/dwbb259ca6/productimages/singlepackshot/793531C01_RGB.png"",""mode"":1}")</f>
        <v>{"url":"https://us.pandora.net/on/demandware.static/-/Sites-pandora-master-catalog/default/dwbb259ca6/productimages/singlepackshot/793531C01_RGB.png","mode":1}</v>
      </c>
      <c r="D3270" s="5" t="str">
        <f ca="1">IFERROR(ROWSDUMMYFUNCTION(IF(A3270="","",CONCATENATE("https://us.pandora.net/on/demandware.static/-/Sites-pandora-master-catalog/default/dwbb259ca6/productimages/singlepackshot/",LEFT(A3270,FIND("-",A3270&amp;"-")-1),"_RGB.png"))),"https://us.pandora.net/on/demandware.static/-/Sites-pandora-master-catalog/default/dwbb259ca6/productimages/singlepackshot/793531C01_RGB.png")</f>
        <v>https://us.pandora.net/on/demandware.static/-/Sites-pandora-master-catalog/default/dwbb259ca6/productimages/singlepackshot/793531C01_RGB.png</v>
      </c>
    </row>
    <row r="3271" spans="1:4" x14ac:dyDescent="0.25">
      <c r="A3271" s="3" t="s">
        <v>3273</v>
      </c>
      <c r="B3271" s="4">
        <v>79</v>
      </c>
      <c r="C3271" s="3" t="str">
        <f ca="1">IFERROR(ROWSDUMMYFUNCTION(IF(A3271="","",IFERROR(IMAGE(CONCATENATE("https://us.pandora.net/on/demandware.static/-/Sites-pandora-master-catalog/default/dwbb259ca6/productimages/singlepackshot/",LEFT(A3271,FIND("-",A3271&amp;"-")-1),"_RGB.png")),""))),"{""url"":""https://us.pandora.net/on/demandware.static/-/Sites-pandora-master-catalog/default/dwbb259ca6/productimages/singlepackshot/793532C01_RGB.png"",""mode"":1}")</f>
        <v>{"url":"https://us.pandora.net/on/demandware.static/-/Sites-pandora-master-catalog/default/dwbb259ca6/productimages/singlepackshot/793532C01_RGB.png","mode":1}</v>
      </c>
      <c r="D3271" s="5" t="str">
        <f ca="1">IFERROR(ROWSDUMMYFUNCTION(IF(A3271="","",CONCATENATE("https://us.pandora.net/on/demandware.static/-/Sites-pandora-master-catalog/default/dwbb259ca6/productimages/singlepackshot/",LEFT(A3271,FIND("-",A3271&amp;"-")-1),"_RGB.png"))),"https://us.pandora.net/on/demandware.static/-/Sites-pandora-master-catalog/default/dwbb259ca6/productimages/singlepackshot/793532C01_RGB.png")</f>
        <v>https://us.pandora.net/on/demandware.static/-/Sites-pandora-master-catalog/default/dwbb259ca6/productimages/singlepackshot/793532C01_RGB.png</v>
      </c>
    </row>
    <row r="3272" spans="1:4" x14ac:dyDescent="0.25">
      <c r="A3272" s="3" t="s">
        <v>3274</v>
      </c>
      <c r="B3272" s="4">
        <v>59</v>
      </c>
      <c r="C3272" s="3" t="str">
        <f ca="1">IFERROR(ROWSDUMMYFUNCTION(IF(A3272="","",IFERROR(IMAGE(CONCATENATE("https://us.pandora.net/on/demandware.static/-/Sites-pandora-master-catalog/default/dwbb259ca6/productimages/singlepackshot/",LEFT(A3272,FIND("-",A3272&amp;"-")-1),"_RGB.png")),""))),"{""url"":""https://us.pandora.net/on/demandware.static/-/Sites-pandora-master-catalog/default/dwbb259ca6/productimages/singlepackshot/793533C01_RGB.png"",""mode"":1}")</f>
        <v>{"url":"https://us.pandora.net/on/demandware.static/-/Sites-pandora-master-catalog/default/dwbb259ca6/productimages/singlepackshot/793533C01_RGB.png","mode":1}</v>
      </c>
      <c r="D3272" s="5" t="str">
        <f ca="1">IFERROR(ROWSDUMMYFUNCTION(IF(A3272="","",CONCATENATE("https://us.pandora.net/on/demandware.static/-/Sites-pandora-master-catalog/default/dwbb259ca6/productimages/singlepackshot/",LEFT(A3272,FIND("-",A3272&amp;"-")-1),"_RGB.png"))),"https://us.pandora.net/on/demandware.static/-/Sites-pandora-master-catalog/default/dwbb259ca6/productimages/singlepackshot/793533C01_RGB.png")</f>
        <v>https://us.pandora.net/on/demandware.static/-/Sites-pandora-master-catalog/default/dwbb259ca6/productimages/singlepackshot/793533C01_RGB.png</v>
      </c>
    </row>
    <row r="3273" spans="1:4" x14ac:dyDescent="0.25">
      <c r="A3273" s="3" t="s">
        <v>3275</v>
      </c>
      <c r="B3273" s="4">
        <v>49</v>
      </c>
      <c r="C3273" s="3" t="str">
        <f ca="1">IFERROR(ROWSDUMMYFUNCTION(IF(A3273="","",IFERROR(IMAGE(CONCATENATE("https://us.pandora.net/on/demandware.static/-/Sites-pandora-master-catalog/default/dwbb259ca6/productimages/singlepackshot/",LEFT(A3273,FIND("-",A3273&amp;"-")-1),"_RGB.png")),""))),"{""url"":""https://us.pandora.net/on/demandware.static/-/Sites-pandora-master-catalog/default/dwbb259ca6/productimages/singlepackshot/793559C01_RGB.png"",""mode"":1}")</f>
        <v>{"url":"https://us.pandora.net/on/demandware.static/-/Sites-pandora-master-catalog/default/dwbb259ca6/productimages/singlepackshot/793559C01_RGB.png","mode":1}</v>
      </c>
      <c r="D3273" s="5" t="str">
        <f ca="1">IFERROR(ROWSDUMMYFUNCTION(IF(A3273="","",CONCATENATE("https://us.pandora.net/on/demandware.static/-/Sites-pandora-master-catalog/default/dwbb259ca6/productimages/singlepackshot/",LEFT(A3273,FIND("-",A3273&amp;"-")-1),"_RGB.png"))),"https://us.pandora.net/on/demandware.static/-/Sites-pandora-master-catalog/default/dwbb259ca6/productimages/singlepackshot/793559C01_RGB.png")</f>
        <v>https://us.pandora.net/on/demandware.static/-/Sites-pandora-master-catalog/default/dwbb259ca6/productimages/singlepackshot/793559C01_RGB.png</v>
      </c>
    </row>
    <row r="3274" spans="1:4" x14ac:dyDescent="0.25">
      <c r="A3274" s="3" t="s">
        <v>3276</v>
      </c>
      <c r="B3274" s="4">
        <v>69</v>
      </c>
      <c r="C3274" s="3" t="str">
        <f ca="1">IFERROR(ROWSDUMMYFUNCTION(IF(A3274="","",IFERROR(IMAGE(CONCATENATE("https://us.pandora.net/on/demandware.static/-/Sites-pandora-master-catalog/default/dwbb259ca6/productimages/singlepackshot/",LEFT(A3274,FIND("-",A3274&amp;"-")-1),"_RGB.png")),""))),"{""url"":""https://us.pandora.net/on/demandware.static/-/Sites-pandora-master-catalog/default/dwbb259ca6/productimages/singlepackshot/793562C01_RGB.png"",""mode"":1}")</f>
        <v>{"url":"https://us.pandora.net/on/demandware.static/-/Sites-pandora-master-catalog/default/dwbb259ca6/productimages/singlepackshot/793562C01_RGB.png","mode":1}</v>
      </c>
      <c r="D3274" s="5" t="str">
        <f ca="1">IFERROR(ROWSDUMMYFUNCTION(IF(A3274="","",CONCATENATE("https://us.pandora.net/on/demandware.static/-/Sites-pandora-master-catalog/default/dwbb259ca6/productimages/singlepackshot/",LEFT(A3274,FIND("-",A3274&amp;"-")-1),"_RGB.png"))),"https://us.pandora.net/on/demandware.static/-/Sites-pandora-master-catalog/default/dwbb259ca6/productimages/singlepackshot/793562C01_RGB.png")</f>
        <v>https://us.pandora.net/on/demandware.static/-/Sites-pandora-master-catalog/default/dwbb259ca6/productimages/singlepackshot/793562C01_RGB.png</v>
      </c>
    </row>
    <row r="3275" spans="1:4" x14ac:dyDescent="0.25">
      <c r="A3275" s="3" t="s">
        <v>3277</v>
      </c>
      <c r="B3275" s="4">
        <v>69</v>
      </c>
      <c r="C3275" s="3" t="str">
        <f ca="1">IFERROR(ROWSDUMMYFUNCTION(IF(A3275="","",IFERROR(IMAGE(CONCATENATE("https://us.pandora.net/on/demandware.static/-/Sites-pandora-master-catalog/default/dwbb259ca6/productimages/singlepackshot/",LEFT(A3275,FIND("-",A3275&amp;"-")-1),"_RGB.png")),""))),"{""url"":""https://us.pandora.net/on/demandware.static/-/Sites-pandora-master-catalog/default/dwbb259ca6/productimages/singlepackshot/793563C01_RGB.png"",""mode"":1}")</f>
        <v>{"url":"https://us.pandora.net/on/demandware.static/-/Sites-pandora-master-catalog/default/dwbb259ca6/productimages/singlepackshot/793563C01_RGB.png","mode":1}</v>
      </c>
      <c r="D3275" s="5" t="str">
        <f ca="1">IFERROR(ROWSDUMMYFUNCTION(IF(A3275="","",CONCATENATE("https://us.pandora.net/on/demandware.static/-/Sites-pandora-master-catalog/default/dwbb259ca6/productimages/singlepackshot/",LEFT(A3275,FIND("-",A3275&amp;"-")-1),"_RGB.png"))),"https://us.pandora.net/on/demandware.static/-/Sites-pandora-master-catalog/default/dwbb259ca6/productimages/singlepackshot/793563C01_RGB.png")</f>
        <v>https://us.pandora.net/on/demandware.static/-/Sites-pandora-master-catalog/default/dwbb259ca6/productimages/singlepackshot/793563C01_RGB.png</v>
      </c>
    </row>
    <row r="3276" spans="1:4" x14ac:dyDescent="0.25">
      <c r="A3276" s="3" t="s">
        <v>3278</v>
      </c>
      <c r="B3276" s="4">
        <v>69</v>
      </c>
      <c r="C3276" s="3" t="str">
        <f ca="1">IFERROR(ROWSDUMMYFUNCTION(IF(A3276="","",IFERROR(IMAGE(CONCATENATE("https://us.pandora.net/on/demandware.static/-/Sites-pandora-master-catalog/default/dwbb259ca6/productimages/singlepackshot/",LEFT(A3276,FIND("-",A3276&amp;"-")-1),"_RGB.png")),""))),"{""url"":""https://us.pandora.net/on/demandware.static/-/Sites-pandora-master-catalog/default/dwbb259ca6/productimages/singlepackshot/793564C01_RGB.png"",""mode"":1}")</f>
        <v>{"url":"https://us.pandora.net/on/demandware.static/-/Sites-pandora-master-catalog/default/dwbb259ca6/productimages/singlepackshot/793564C01_RGB.png","mode":1}</v>
      </c>
      <c r="D3276" s="5" t="str">
        <f ca="1">IFERROR(ROWSDUMMYFUNCTION(IF(A3276="","",CONCATENATE("https://us.pandora.net/on/demandware.static/-/Sites-pandora-master-catalog/default/dwbb259ca6/productimages/singlepackshot/",LEFT(A3276,FIND("-",A3276&amp;"-")-1),"_RGB.png"))),"https://us.pandora.net/on/demandware.static/-/Sites-pandora-master-catalog/default/dwbb259ca6/productimages/singlepackshot/793564C01_RGB.png")</f>
        <v>https://us.pandora.net/on/demandware.static/-/Sites-pandora-master-catalog/default/dwbb259ca6/productimages/singlepackshot/793564C01_RGB.png</v>
      </c>
    </row>
    <row r="3277" spans="1:4" x14ac:dyDescent="0.25">
      <c r="A3277" s="3" t="s">
        <v>3279</v>
      </c>
      <c r="B3277" s="4">
        <v>59</v>
      </c>
      <c r="C3277" s="3" t="str">
        <f ca="1">IFERROR(ROWSDUMMYFUNCTION(IF(A3277="","",IFERROR(IMAGE(CONCATENATE("https://us.pandora.net/on/demandware.static/-/Sites-pandora-master-catalog/default/dwbb259ca6/productimages/singlepackshot/",LEFT(A3277,FIND("-",A3277&amp;"-")-1),"_RGB.png")),""))),"{""url"":""https://us.pandora.net/on/demandware.static/-/Sites-pandora-master-catalog/default/dwbb259ca6/productimages/singlepackshot/793565C01_RGB.png"",""mode"":1}")</f>
        <v>{"url":"https://us.pandora.net/on/demandware.static/-/Sites-pandora-master-catalog/default/dwbb259ca6/productimages/singlepackshot/793565C01_RGB.png","mode":1}</v>
      </c>
      <c r="D3277" s="5" t="str">
        <f ca="1">IFERROR(ROWSDUMMYFUNCTION(IF(A3277="","",CONCATENATE("https://us.pandora.net/on/demandware.static/-/Sites-pandora-master-catalog/default/dwbb259ca6/productimages/singlepackshot/",LEFT(A3277,FIND("-",A3277&amp;"-")-1),"_RGB.png"))),"https://us.pandora.net/on/demandware.static/-/Sites-pandora-master-catalog/default/dwbb259ca6/productimages/singlepackshot/793565C01_RGB.png")</f>
        <v>https://us.pandora.net/on/demandware.static/-/Sites-pandora-master-catalog/default/dwbb259ca6/productimages/singlepackshot/793565C01_RGB.png</v>
      </c>
    </row>
    <row r="3278" spans="1:4" x14ac:dyDescent="0.25">
      <c r="A3278" s="3" t="s">
        <v>3280</v>
      </c>
      <c r="B3278" s="4">
        <v>79</v>
      </c>
      <c r="C3278" s="3" t="str">
        <f ca="1">IFERROR(ROWSDUMMYFUNCTION(IF(A3278="","",IFERROR(IMAGE(CONCATENATE("https://us.pandora.net/on/demandware.static/-/Sites-pandora-master-catalog/default/dwbb259ca6/productimages/singlepackshot/",LEFT(A3278,FIND("-",A3278&amp;"-")-1),"_RGB.png")),""))),"{""url"":""https://us.pandora.net/on/demandware.static/-/Sites-pandora-master-catalog/default/dwbb259ca6/productimages/singlepackshot/793568C01_RGB.png"",""mode"":1}")</f>
        <v>{"url":"https://us.pandora.net/on/demandware.static/-/Sites-pandora-master-catalog/default/dwbb259ca6/productimages/singlepackshot/793568C01_RGB.png","mode":1}</v>
      </c>
      <c r="D3278" s="5" t="str">
        <f ca="1">IFERROR(ROWSDUMMYFUNCTION(IF(A3278="","",CONCATENATE("https://us.pandora.net/on/demandware.static/-/Sites-pandora-master-catalog/default/dwbb259ca6/productimages/singlepackshot/",LEFT(A3278,FIND("-",A3278&amp;"-")-1),"_RGB.png"))),"https://us.pandora.net/on/demandware.static/-/Sites-pandora-master-catalog/default/dwbb259ca6/productimages/singlepackshot/793568C01_RGB.png")</f>
        <v>https://us.pandora.net/on/demandware.static/-/Sites-pandora-master-catalog/default/dwbb259ca6/productimages/singlepackshot/793568C01_RGB.png</v>
      </c>
    </row>
    <row r="3279" spans="1:4" x14ac:dyDescent="0.25">
      <c r="A3279" s="3" t="s">
        <v>3281</v>
      </c>
      <c r="B3279" s="4">
        <v>49</v>
      </c>
      <c r="C3279" s="3" t="str">
        <f ca="1">IFERROR(ROWSDUMMYFUNCTION(IF(A3279="","",IFERROR(IMAGE(CONCATENATE("https://us.pandora.net/on/demandware.static/-/Sites-pandora-master-catalog/default/dwbb259ca6/productimages/singlepackshot/",LEFT(A3279,FIND("-",A3279&amp;"-")-1),"_RGB.png")),""))),"{""url"":""https://us.pandora.net/on/demandware.static/-/Sites-pandora-master-catalog/default/dwbb259ca6/productimages/singlepackshot/793583C01_RGB.png"",""mode"":1}")</f>
        <v>{"url":"https://us.pandora.net/on/demandware.static/-/Sites-pandora-master-catalog/default/dwbb259ca6/productimages/singlepackshot/793583C01_RGB.png","mode":1}</v>
      </c>
      <c r="D3279" s="5" t="str">
        <f ca="1">IFERROR(ROWSDUMMYFUNCTION(IF(A3279="","",CONCATENATE("https://us.pandora.net/on/demandware.static/-/Sites-pandora-master-catalog/default/dwbb259ca6/productimages/singlepackshot/",LEFT(A3279,FIND("-",A3279&amp;"-")-1),"_RGB.png"))),"https://us.pandora.net/on/demandware.static/-/Sites-pandora-master-catalog/default/dwbb259ca6/productimages/singlepackshot/793583C01_RGB.png")</f>
        <v>https://us.pandora.net/on/demandware.static/-/Sites-pandora-master-catalog/default/dwbb259ca6/productimages/singlepackshot/793583C01_RGB.png</v>
      </c>
    </row>
    <row r="3280" spans="1:4" x14ac:dyDescent="0.25">
      <c r="A3280" s="3" t="s">
        <v>3282</v>
      </c>
      <c r="B3280" s="4">
        <v>59</v>
      </c>
      <c r="C3280" s="3" t="str">
        <f ca="1">IFERROR(ROWSDUMMYFUNCTION(IF(A3280="","",IFERROR(IMAGE(CONCATENATE("https://us.pandora.net/on/demandware.static/-/Sites-pandora-master-catalog/default/dwbb259ca6/productimages/singlepackshot/",LEFT(A3280,FIND("-",A3280&amp;"-")-1),"_RGB.png")),""))),"{""url"":""https://us.pandora.net/on/demandware.static/-/Sites-pandora-master-catalog/default/dwbb259ca6/productimages/singlepackshot/793586C01_RGB.png"",""mode"":1}")</f>
        <v>{"url":"https://us.pandora.net/on/demandware.static/-/Sites-pandora-master-catalog/default/dwbb259ca6/productimages/singlepackshot/793586C01_RGB.png","mode":1}</v>
      </c>
      <c r="D3280" s="5" t="str">
        <f ca="1">IFERROR(ROWSDUMMYFUNCTION(IF(A3280="","",CONCATENATE("https://us.pandora.net/on/demandware.static/-/Sites-pandora-master-catalog/default/dwbb259ca6/productimages/singlepackshot/",LEFT(A3280,FIND("-",A3280&amp;"-")-1),"_RGB.png"))),"https://us.pandora.net/on/demandware.static/-/Sites-pandora-master-catalog/default/dwbb259ca6/productimages/singlepackshot/793586C01_RGB.png")</f>
        <v>https://us.pandora.net/on/demandware.static/-/Sites-pandora-master-catalog/default/dwbb259ca6/productimages/singlepackshot/793586C01_RGB.png</v>
      </c>
    </row>
    <row r="3281" spans="1:4" x14ac:dyDescent="0.25">
      <c r="A3281" s="3" t="s">
        <v>3283</v>
      </c>
      <c r="B3281" s="4">
        <v>55</v>
      </c>
      <c r="C3281" s="3" t="str">
        <f ca="1">IFERROR(ROWSDUMMYFUNCTION(IF(A3281="","",IFERROR(IMAGE(CONCATENATE("https://us.pandora.net/on/demandware.static/-/Sites-pandora-master-catalog/default/dwbb259ca6/productimages/singlepackshot/",LEFT(A3281,FIND("-",A3281&amp;"-")-1),"_RGB.png")),""))),"{""url"":""https://us.pandora.net/on/demandware.static/-/Sites-pandora-master-catalog/default/dwbb259ca6/productimages/singlepackshot/793589C01_RGB.png"",""mode"":1}")</f>
        <v>{"url":"https://us.pandora.net/on/demandware.static/-/Sites-pandora-master-catalog/default/dwbb259ca6/productimages/singlepackshot/793589C01_RGB.png","mode":1}</v>
      </c>
      <c r="D3281" s="5" t="str">
        <f ca="1">IFERROR(ROWSDUMMYFUNCTION(IF(A3281="","",CONCATENATE("https://us.pandora.net/on/demandware.static/-/Sites-pandora-master-catalog/default/dwbb259ca6/productimages/singlepackshot/",LEFT(A3281,FIND("-",A3281&amp;"-")-1),"_RGB.png"))),"https://us.pandora.net/on/demandware.static/-/Sites-pandora-master-catalog/default/dwbb259ca6/productimages/singlepackshot/793589C01_RGB.png")</f>
        <v>https://us.pandora.net/on/demandware.static/-/Sites-pandora-master-catalog/default/dwbb259ca6/productimages/singlepackshot/793589C01_RGB.png</v>
      </c>
    </row>
    <row r="3282" spans="1:4" x14ac:dyDescent="0.25">
      <c r="A3282" s="3" t="s">
        <v>3284</v>
      </c>
      <c r="B3282" s="4">
        <v>75</v>
      </c>
      <c r="C3282" s="3" t="str">
        <f ca="1">IFERROR(ROWSDUMMYFUNCTION(IF(A3282="","",IFERROR(IMAGE(CONCATENATE("https://us.pandora.net/on/demandware.static/-/Sites-pandora-master-catalog/default/dwbb259ca6/productimages/singlepackshot/",LEFT(A3282,FIND("-",A3282&amp;"-")-1),"_RGB.png")),""))),"{""url"":""https://us.pandora.net/on/demandware.static/-/Sites-pandora-master-catalog/default/dwbb259ca6/productimages/singlepackshot/793591C01_RGB.png"",""mode"":1}")</f>
        <v>{"url":"https://us.pandora.net/on/demandware.static/-/Sites-pandora-master-catalog/default/dwbb259ca6/productimages/singlepackshot/793591C01_RGB.png","mode":1}</v>
      </c>
      <c r="D3282" s="5" t="str">
        <f ca="1">IFERROR(ROWSDUMMYFUNCTION(IF(A3282="","",CONCATENATE("https://us.pandora.net/on/demandware.static/-/Sites-pandora-master-catalog/default/dwbb259ca6/productimages/singlepackshot/",LEFT(A3282,FIND("-",A3282&amp;"-")-1),"_RGB.png"))),"https://us.pandora.net/on/demandware.static/-/Sites-pandora-master-catalog/default/dwbb259ca6/productimages/singlepackshot/793591C01_RGB.png")</f>
        <v>https://us.pandora.net/on/demandware.static/-/Sites-pandora-master-catalog/default/dwbb259ca6/productimages/singlepackshot/793591C01_RGB.png</v>
      </c>
    </row>
    <row r="3283" spans="1:4" x14ac:dyDescent="0.25">
      <c r="A3283" s="3" t="s">
        <v>3285</v>
      </c>
      <c r="B3283" s="4">
        <v>59</v>
      </c>
      <c r="C3283" s="3" t="str">
        <f ca="1">IFERROR(ROWSDUMMYFUNCTION(IF(A3283="","",IFERROR(IMAGE(CONCATENATE("https://us.pandora.net/on/demandware.static/-/Sites-pandora-master-catalog/default/dwbb259ca6/productimages/singlepackshot/",LEFT(A3283,FIND("-",A3283&amp;"-")-1),"_RGB.png")),""))),"{""url"":""https://us.pandora.net/on/demandware.static/-/Sites-pandora-master-catalog/default/dwbb259ca6/productimages/singlepackshot/793593C01_RGB.png"",""mode"":1}")</f>
        <v>{"url":"https://us.pandora.net/on/demandware.static/-/Sites-pandora-master-catalog/default/dwbb259ca6/productimages/singlepackshot/793593C01_RGB.png","mode":1}</v>
      </c>
      <c r="D3283" s="5" t="str">
        <f ca="1">IFERROR(ROWSDUMMYFUNCTION(IF(A3283="","",CONCATENATE("https://us.pandora.net/on/demandware.static/-/Sites-pandora-master-catalog/default/dwbb259ca6/productimages/singlepackshot/",LEFT(A3283,FIND("-",A3283&amp;"-")-1),"_RGB.png"))),"https://us.pandora.net/on/demandware.static/-/Sites-pandora-master-catalog/default/dwbb259ca6/productimages/singlepackshot/793593C01_RGB.png")</f>
        <v>https://us.pandora.net/on/demandware.static/-/Sites-pandora-master-catalog/default/dwbb259ca6/productimages/singlepackshot/793593C01_RGB.png</v>
      </c>
    </row>
    <row r="3284" spans="1:4" x14ac:dyDescent="0.25">
      <c r="A3284" s="3" t="s">
        <v>3286</v>
      </c>
      <c r="B3284" s="4">
        <v>55</v>
      </c>
      <c r="C3284" s="3" t="str">
        <f ca="1">IFERROR(ROWSDUMMYFUNCTION(IF(A3284="","",IFERROR(IMAGE(CONCATENATE("https://us.pandora.net/on/demandware.static/-/Sites-pandora-master-catalog/default/dwbb259ca6/productimages/singlepackshot/",LEFT(A3284,FIND("-",A3284&amp;"-")-1),"_RGB.png")),""))),"{""url"":""https://us.pandora.net/on/demandware.static/-/Sites-pandora-master-catalog/default/dwbb259ca6/productimages/singlepackshot/793594C01_RGB.png"",""mode"":1}")</f>
        <v>{"url":"https://us.pandora.net/on/demandware.static/-/Sites-pandora-master-catalog/default/dwbb259ca6/productimages/singlepackshot/793594C01_RGB.png","mode":1}</v>
      </c>
      <c r="D3284" s="5" t="str">
        <f ca="1">IFERROR(ROWSDUMMYFUNCTION(IF(A3284="","",CONCATENATE("https://us.pandora.net/on/demandware.static/-/Sites-pandora-master-catalog/default/dwbb259ca6/productimages/singlepackshot/",LEFT(A3284,FIND("-",A3284&amp;"-")-1),"_RGB.png"))),"https://us.pandora.net/on/demandware.static/-/Sites-pandora-master-catalog/default/dwbb259ca6/productimages/singlepackshot/793594C01_RGB.png")</f>
        <v>https://us.pandora.net/on/demandware.static/-/Sites-pandora-master-catalog/default/dwbb259ca6/productimages/singlepackshot/793594C01_RGB.png</v>
      </c>
    </row>
    <row r="3285" spans="1:4" x14ac:dyDescent="0.25">
      <c r="A3285" s="3" t="s">
        <v>3287</v>
      </c>
      <c r="B3285" s="4">
        <v>59</v>
      </c>
      <c r="C3285" s="3" t="str">
        <f ca="1">IFERROR(ROWSDUMMYFUNCTION(IF(A3285="","",IFERROR(IMAGE(CONCATENATE("https://us.pandora.net/on/demandware.static/-/Sites-pandora-master-catalog/default/dwbb259ca6/productimages/singlepackshot/",LEFT(A3285,FIND("-",A3285&amp;"-")-1),"_RGB.png")),""))),"{""url"":""https://us.pandora.net/on/demandware.static/-/Sites-pandora-master-catalog/default/dwbb259ca6/productimages/singlepackshot/793595C01_RGB.png"",""mode"":1}")</f>
        <v>{"url":"https://us.pandora.net/on/demandware.static/-/Sites-pandora-master-catalog/default/dwbb259ca6/productimages/singlepackshot/793595C01_RGB.png","mode":1}</v>
      </c>
      <c r="D3285" s="5" t="str">
        <f ca="1">IFERROR(ROWSDUMMYFUNCTION(IF(A3285="","",CONCATENATE("https://us.pandora.net/on/demandware.static/-/Sites-pandora-master-catalog/default/dwbb259ca6/productimages/singlepackshot/",LEFT(A3285,FIND("-",A3285&amp;"-")-1),"_RGB.png"))),"https://us.pandora.net/on/demandware.static/-/Sites-pandora-master-catalog/default/dwbb259ca6/productimages/singlepackshot/793595C01_RGB.png")</f>
        <v>https://us.pandora.net/on/demandware.static/-/Sites-pandora-master-catalog/default/dwbb259ca6/productimages/singlepackshot/793595C01_RGB.png</v>
      </c>
    </row>
    <row r="3286" spans="1:4" x14ac:dyDescent="0.25">
      <c r="A3286" s="3" t="s">
        <v>3288</v>
      </c>
      <c r="B3286" s="4">
        <v>49</v>
      </c>
      <c r="C3286" s="3" t="str">
        <f ca="1">IFERROR(ROWSDUMMYFUNCTION(IF(A3286="","",IFERROR(IMAGE(CONCATENATE("https://us.pandora.net/on/demandware.static/-/Sites-pandora-master-catalog/default/dwbb259ca6/productimages/singlepackshot/",LEFT(A3286,FIND("-",A3286&amp;"-")-1),"_RGB.png")),""))),"{""url"":""https://us.pandora.net/on/demandware.static/-/Sites-pandora-master-catalog/default/dwbb259ca6/productimages/singlepackshot/793596C01_RGB.png"",""mode"":1}")</f>
        <v>{"url":"https://us.pandora.net/on/demandware.static/-/Sites-pandora-master-catalog/default/dwbb259ca6/productimages/singlepackshot/793596C01_RGB.png","mode":1}</v>
      </c>
      <c r="D3286" s="5" t="str">
        <f ca="1">IFERROR(ROWSDUMMYFUNCTION(IF(A3286="","",CONCATENATE("https://us.pandora.net/on/demandware.static/-/Sites-pandora-master-catalog/default/dwbb259ca6/productimages/singlepackshot/",LEFT(A3286,FIND("-",A3286&amp;"-")-1),"_RGB.png"))),"https://us.pandora.net/on/demandware.static/-/Sites-pandora-master-catalog/default/dwbb259ca6/productimages/singlepackshot/793596C01_RGB.png")</f>
        <v>https://us.pandora.net/on/demandware.static/-/Sites-pandora-master-catalog/default/dwbb259ca6/productimages/singlepackshot/793596C01_RGB.png</v>
      </c>
    </row>
    <row r="3287" spans="1:4" x14ac:dyDescent="0.25">
      <c r="A3287" s="3" t="s">
        <v>3289</v>
      </c>
      <c r="B3287" s="4">
        <v>39</v>
      </c>
      <c r="C3287" s="3" t="str">
        <f ca="1">IFERROR(ROWSDUMMYFUNCTION(IF(A3287="","",IFERROR(IMAGE(CONCATENATE("https://us.pandora.net/on/demandware.static/-/Sites-pandora-master-catalog/default/dwbb259ca6/productimages/singlepackshot/",LEFT(A3287,FIND("-",A3287&amp;"-")-1),"_RGB.png")),""))),"{""url"":""https://us.pandora.net/on/demandware.static/-/Sites-pandora-master-catalog/default/dwbb259ca6/productimages/singlepackshot/793597C00_RGB.png"",""mode"":1}")</f>
        <v>{"url":"https://us.pandora.net/on/demandware.static/-/Sites-pandora-master-catalog/default/dwbb259ca6/productimages/singlepackshot/793597C00_RGB.png","mode":1}</v>
      </c>
      <c r="D3287" s="5" t="str">
        <f ca="1">IFERROR(ROWSDUMMYFUNCTION(IF(A3287="","",CONCATENATE("https://us.pandora.net/on/demandware.static/-/Sites-pandora-master-catalog/default/dwbb259ca6/productimages/singlepackshot/",LEFT(A3287,FIND("-",A3287&amp;"-")-1),"_RGB.png"))),"https://us.pandora.net/on/demandware.static/-/Sites-pandora-master-catalog/default/dwbb259ca6/productimages/singlepackshot/793597C00_RGB.png")</f>
        <v>https://us.pandora.net/on/demandware.static/-/Sites-pandora-master-catalog/default/dwbb259ca6/productimages/singlepackshot/793597C00_RGB.png</v>
      </c>
    </row>
    <row r="3288" spans="1:4" x14ac:dyDescent="0.25">
      <c r="A3288" s="3" t="s">
        <v>3290</v>
      </c>
      <c r="B3288" s="4">
        <v>39</v>
      </c>
      <c r="C3288" s="3" t="str">
        <f ca="1">IFERROR(ROWSDUMMYFUNCTION(IF(A3288="","",IFERROR(IMAGE(CONCATENATE("https://us.pandora.net/on/demandware.static/-/Sites-pandora-master-catalog/default/dwbb259ca6/productimages/singlepackshot/",LEFT(A3288,FIND("-",A3288&amp;"-")-1),"_RGB.png")),""))),"{""url"":""https://us.pandora.net/on/demandware.static/-/Sites-pandora-master-catalog/default/dwbb259ca6/productimages/singlepackshot/793598C01_RGB.png"",""mode"":1}")</f>
        <v>{"url":"https://us.pandora.net/on/demandware.static/-/Sites-pandora-master-catalog/default/dwbb259ca6/productimages/singlepackshot/793598C01_RGB.png","mode":1}</v>
      </c>
      <c r="D3288" s="5" t="str">
        <f ca="1">IFERROR(ROWSDUMMYFUNCTION(IF(A3288="","",CONCATENATE("https://us.pandora.net/on/demandware.static/-/Sites-pandora-master-catalog/default/dwbb259ca6/productimages/singlepackshot/",LEFT(A3288,FIND("-",A3288&amp;"-")-1),"_RGB.png"))),"https://us.pandora.net/on/demandware.static/-/Sites-pandora-master-catalog/default/dwbb259ca6/productimages/singlepackshot/793598C01_RGB.png")</f>
        <v>https://us.pandora.net/on/demandware.static/-/Sites-pandora-master-catalog/default/dwbb259ca6/productimages/singlepackshot/793598C01_RGB.png</v>
      </c>
    </row>
    <row r="3289" spans="1:4" x14ac:dyDescent="0.25">
      <c r="A3289" s="3" t="s">
        <v>3291</v>
      </c>
      <c r="B3289" s="4">
        <v>65</v>
      </c>
      <c r="C3289" s="3" t="str">
        <f ca="1">IFERROR(ROWSDUMMYFUNCTION(IF(A3289="","",IFERROR(IMAGE(CONCATENATE("https://us.pandora.net/on/demandware.static/-/Sites-pandora-master-catalog/default/dwbb259ca6/productimages/singlepackshot/",LEFT(A3289,FIND("-",A3289&amp;"-")-1),"_RGB.png")),""))),"{""url"":""https://us.pandora.net/on/demandware.static/-/Sites-pandora-master-catalog/default/dwbb259ca6/productimages/singlepackshot/793599C01_RGB.png"",""mode"":1}")</f>
        <v>{"url":"https://us.pandora.net/on/demandware.static/-/Sites-pandora-master-catalog/default/dwbb259ca6/productimages/singlepackshot/793599C01_RGB.png","mode":1}</v>
      </c>
      <c r="D3289" s="5" t="str">
        <f ca="1">IFERROR(ROWSDUMMYFUNCTION(IF(A3289="","",CONCATENATE("https://us.pandora.net/on/demandware.static/-/Sites-pandora-master-catalog/default/dwbb259ca6/productimages/singlepackshot/",LEFT(A3289,FIND("-",A3289&amp;"-")-1),"_RGB.png"))),"https://us.pandora.net/on/demandware.static/-/Sites-pandora-master-catalog/default/dwbb259ca6/productimages/singlepackshot/793599C01_RGB.png")</f>
        <v>https://us.pandora.net/on/demandware.static/-/Sites-pandora-master-catalog/default/dwbb259ca6/productimages/singlepackshot/793599C01_RGB.png</v>
      </c>
    </row>
    <row r="3290" spans="1:4" x14ac:dyDescent="0.25">
      <c r="A3290" s="3" t="s">
        <v>3292</v>
      </c>
      <c r="B3290" s="4">
        <v>75</v>
      </c>
      <c r="C3290" s="3" t="str">
        <f ca="1">IFERROR(ROWSDUMMYFUNCTION(IF(A3290="","",IFERROR(IMAGE(CONCATENATE("https://us.pandora.net/on/demandware.static/-/Sites-pandora-master-catalog/default/dwbb259ca6/productimages/singlepackshot/",LEFT(A3290,FIND("-",A3290&amp;"-")-1),"_RGB.png")),""))),"{""url"":""https://us.pandora.net/on/demandware.static/-/Sites-pandora-master-catalog/default/dwbb259ca6/productimages/singlepackshot/793603C01_RGB.png"",""mode"":1}")</f>
        <v>{"url":"https://us.pandora.net/on/demandware.static/-/Sites-pandora-master-catalog/default/dwbb259ca6/productimages/singlepackshot/793603C01_RGB.png","mode":1}</v>
      </c>
      <c r="D3290" s="5" t="str">
        <f ca="1">IFERROR(ROWSDUMMYFUNCTION(IF(A3290="","",CONCATENATE("https://us.pandora.net/on/demandware.static/-/Sites-pandora-master-catalog/default/dwbb259ca6/productimages/singlepackshot/",LEFT(A3290,FIND("-",A3290&amp;"-")-1),"_RGB.png"))),"https://us.pandora.net/on/demandware.static/-/Sites-pandora-master-catalog/default/dwbb259ca6/productimages/singlepackshot/793603C01_RGB.png")</f>
        <v>https://us.pandora.net/on/demandware.static/-/Sites-pandora-master-catalog/default/dwbb259ca6/productimages/singlepackshot/793603C01_RGB.png</v>
      </c>
    </row>
    <row r="3291" spans="1:4" x14ac:dyDescent="0.25">
      <c r="A3291" s="3" t="s">
        <v>3293</v>
      </c>
      <c r="B3291" s="4">
        <v>39</v>
      </c>
      <c r="C3291" s="3" t="str">
        <f ca="1">IFERROR(ROWSDUMMYFUNCTION(IF(A3291="","",IFERROR(IMAGE(CONCATENATE("https://us.pandora.net/on/demandware.static/-/Sites-pandora-master-catalog/default/dwbb259ca6/productimages/singlepackshot/",LEFT(A3291,FIND("-",A3291&amp;"-")-1),"_RGB.png")),""))),"{""url"":""https://us.pandora.net/on/demandware.static/-/Sites-pandora-master-catalog/default/dwbb259ca6/productimages/singlepackshot/793604C01_RGB.png"",""mode"":1}")</f>
        <v>{"url":"https://us.pandora.net/on/demandware.static/-/Sites-pandora-master-catalog/default/dwbb259ca6/productimages/singlepackshot/793604C01_RGB.png","mode":1}</v>
      </c>
      <c r="D3291" s="5" t="str">
        <f ca="1">IFERROR(ROWSDUMMYFUNCTION(IF(A3291="","",CONCATENATE("https://us.pandora.net/on/demandware.static/-/Sites-pandora-master-catalog/default/dwbb259ca6/productimages/singlepackshot/",LEFT(A3291,FIND("-",A3291&amp;"-")-1),"_RGB.png"))),"https://us.pandora.net/on/demandware.static/-/Sites-pandora-master-catalog/default/dwbb259ca6/productimages/singlepackshot/793604C01_RGB.png")</f>
        <v>https://us.pandora.net/on/demandware.static/-/Sites-pandora-master-catalog/default/dwbb259ca6/productimages/singlepackshot/793604C01_RGB.png</v>
      </c>
    </row>
    <row r="3292" spans="1:4" x14ac:dyDescent="0.25">
      <c r="A3292" s="3" t="s">
        <v>3294</v>
      </c>
      <c r="B3292" s="4">
        <v>59</v>
      </c>
      <c r="C3292" s="3" t="str">
        <f ca="1">IFERROR(ROWSDUMMYFUNCTION(IF(A3292="","",IFERROR(IMAGE(CONCATENATE("https://us.pandora.net/on/demandware.static/-/Sites-pandora-master-catalog/default/dwbb259ca6/productimages/singlepackshot/",LEFT(A3292,FIND("-",A3292&amp;"-")-1),"_RGB.png")),""))),"{""url"":""https://us.pandora.net/on/demandware.static/-/Sites-pandora-master-catalog/default/dwbb259ca6/productimages/singlepackshot/793620C01_RGB.png"",""mode"":1}")</f>
        <v>{"url":"https://us.pandora.net/on/demandware.static/-/Sites-pandora-master-catalog/default/dwbb259ca6/productimages/singlepackshot/793620C01_RGB.png","mode":1}</v>
      </c>
      <c r="D3292" s="5" t="str">
        <f ca="1">IFERROR(ROWSDUMMYFUNCTION(IF(A3292="","",CONCATENATE("https://us.pandora.net/on/demandware.static/-/Sites-pandora-master-catalog/default/dwbb259ca6/productimages/singlepackshot/",LEFT(A3292,FIND("-",A3292&amp;"-")-1),"_RGB.png"))),"https://us.pandora.net/on/demandware.static/-/Sites-pandora-master-catalog/default/dwbb259ca6/productimages/singlepackshot/793620C01_RGB.png")</f>
        <v>https://us.pandora.net/on/demandware.static/-/Sites-pandora-master-catalog/default/dwbb259ca6/productimages/singlepackshot/793620C01_RGB.png</v>
      </c>
    </row>
    <row r="3293" spans="1:4" x14ac:dyDescent="0.25">
      <c r="A3293" s="3" t="s">
        <v>3295</v>
      </c>
      <c r="B3293" s="4">
        <v>29</v>
      </c>
      <c r="C3293" s="3" t="str">
        <f ca="1">IFERROR(ROWSDUMMYFUNCTION(IF(A3293="","",IFERROR(IMAGE(CONCATENATE("https://us.pandora.net/on/demandware.static/-/Sites-pandora-master-catalog/default/dwbb259ca6/productimages/singlepackshot/",LEFT(A3293,FIND("-",A3293&amp;"-")-1),"_RGB.png")),""))),"{""url"":""https://us.pandora.net/on/demandware.static/-/Sites-pandora-master-catalog/default/dwbb259ca6/productimages/singlepackshot/793626C01_RGB.png"",""mode"":1}")</f>
        <v>{"url":"https://us.pandora.net/on/demandware.static/-/Sites-pandora-master-catalog/default/dwbb259ca6/productimages/singlepackshot/793626C01_RGB.png","mode":1}</v>
      </c>
      <c r="D3293" s="5" t="str">
        <f ca="1">IFERROR(ROWSDUMMYFUNCTION(IF(A3293="","",CONCATENATE("https://us.pandora.net/on/demandware.static/-/Sites-pandora-master-catalog/default/dwbb259ca6/productimages/singlepackshot/",LEFT(A3293,FIND("-",A3293&amp;"-")-1),"_RGB.png"))),"https://us.pandora.net/on/demandware.static/-/Sites-pandora-master-catalog/default/dwbb259ca6/productimages/singlepackshot/793626C01_RGB.png")</f>
        <v>https://us.pandora.net/on/demandware.static/-/Sites-pandora-master-catalog/default/dwbb259ca6/productimages/singlepackshot/793626C01_RGB.png</v>
      </c>
    </row>
    <row r="3294" spans="1:4" x14ac:dyDescent="0.25">
      <c r="A3294" s="3" t="s">
        <v>3296</v>
      </c>
      <c r="B3294" s="4">
        <v>59</v>
      </c>
      <c r="C3294" s="3" t="str">
        <f ca="1">IFERROR(ROWSDUMMYFUNCTION(IF(A3294="","",IFERROR(IMAGE(CONCATENATE("https://us.pandora.net/on/demandware.static/-/Sites-pandora-master-catalog/default/dwbb259ca6/productimages/singlepackshot/",LEFT(A3294,FIND("-",A3294&amp;"-")-1),"_RGB.png")),""))),"{""url"":""https://us.pandora.net/on/demandware.static/-/Sites-pandora-master-catalog/default/dwbb259ca6/productimages/singlepackshot/793649C01_RGB.png"",""mode"":1}")</f>
        <v>{"url":"https://us.pandora.net/on/demandware.static/-/Sites-pandora-master-catalog/default/dwbb259ca6/productimages/singlepackshot/793649C01_RGB.png","mode":1}</v>
      </c>
      <c r="D3294" s="5" t="str">
        <f ca="1">IFERROR(ROWSDUMMYFUNCTION(IF(A3294="","",CONCATENATE("https://us.pandora.net/on/demandware.static/-/Sites-pandora-master-catalog/default/dwbb259ca6/productimages/singlepackshot/",LEFT(A3294,FIND("-",A3294&amp;"-")-1),"_RGB.png"))),"https://us.pandora.net/on/demandware.static/-/Sites-pandora-master-catalog/default/dwbb259ca6/productimages/singlepackshot/793649C01_RGB.png")</f>
        <v>https://us.pandora.net/on/demandware.static/-/Sites-pandora-master-catalog/default/dwbb259ca6/productimages/singlepackshot/793649C01_RGB.png</v>
      </c>
    </row>
    <row r="3295" spans="1:4" x14ac:dyDescent="0.25">
      <c r="A3295" s="3" t="s">
        <v>3297</v>
      </c>
      <c r="B3295" s="4">
        <v>29</v>
      </c>
      <c r="C3295" s="3" t="str">
        <f ca="1">IFERROR(ROWSDUMMYFUNCTION(IF(A3295="","",IFERROR(IMAGE(CONCATENATE("https://us.pandora.net/on/demandware.static/-/Sites-pandora-master-catalog/default/dwbb259ca6/productimages/singlepackshot/",LEFT(A3295,FIND("-",A3295&amp;"-")-1),"_RGB.png")),""))),"{""url"":""https://us.pandora.net/on/demandware.static/-/Sites-pandora-master-catalog/default/dwbb259ca6/productimages/singlepackshot/793665C01_RGB.png"",""mode"":1}")</f>
        <v>{"url":"https://us.pandora.net/on/demandware.static/-/Sites-pandora-master-catalog/default/dwbb259ca6/productimages/singlepackshot/793665C01_RGB.png","mode":1}</v>
      </c>
      <c r="D3295" s="5" t="str">
        <f ca="1">IFERROR(ROWSDUMMYFUNCTION(IF(A3295="","",CONCATENATE("https://us.pandora.net/on/demandware.static/-/Sites-pandora-master-catalog/default/dwbb259ca6/productimages/singlepackshot/",LEFT(A3295,FIND("-",A3295&amp;"-")-1),"_RGB.png"))),"https://us.pandora.net/on/demandware.static/-/Sites-pandora-master-catalog/default/dwbb259ca6/productimages/singlepackshot/793665C01_RGB.png")</f>
        <v>https://us.pandora.net/on/demandware.static/-/Sites-pandora-master-catalog/default/dwbb259ca6/productimages/singlepackshot/793665C01_RGB.png</v>
      </c>
    </row>
    <row r="3296" spans="1:4" x14ac:dyDescent="0.25">
      <c r="A3296" s="3" t="s">
        <v>3298</v>
      </c>
      <c r="B3296" s="4">
        <v>65</v>
      </c>
      <c r="C3296" s="3" t="str">
        <f ca="1">IFERROR(ROWSDUMMYFUNCTION(IF(A3296="","",IFERROR(IMAGE(CONCATENATE("https://us.pandora.net/on/demandware.static/-/Sites-pandora-master-catalog/default/dwbb259ca6/productimages/singlepackshot/",LEFT(A3296,FIND("-",A3296&amp;"-")-1),"_RGB.png")),""))),"{""url"":""https://us.pandora.net/on/demandware.static/-/Sites-pandora-master-catalog/default/dwbb259ca6/productimages/singlepackshot/793667C01_RGB.png"",""mode"":1}")</f>
        <v>{"url":"https://us.pandora.net/on/demandware.static/-/Sites-pandora-master-catalog/default/dwbb259ca6/productimages/singlepackshot/793667C01_RGB.png","mode":1}</v>
      </c>
      <c r="D3296" s="5" t="str">
        <f ca="1">IFERROR(ROWSDUMMYFUNCTION(IF(A3296="","",CONCATENATE("https://us.pandora.net/on/demandware.static/-/Sites-pandora-master-catalog/default/dwbb259ca6/productimages/singlepackshot/",LEFT(A3296,FIND("-",A3296&amp;"-")-1),"_RGB.png"))),"https://us.pandora.net/on/demandware.static/-/Sites-pandora-master-catalog/default/dwbb259ca6/productimages/singlepackshot/793667C01_RGB.png")</f>
        <v>https://us.pandora.net/on/demandware.static/-/Sites-pandora-master-catalog/default/dwbb259ca6/productimages/singlepackshot/793667C01_RGB.png</v>
      </c>
    </row>
    <row r="3297" spans="1:4" x14ac:dyDescent="0.25">
      <c r="A3297" s="3" t="s">
        <v>3299</v>
      </c>
      <c r="B3297" s="4">
        <v>69</v>
      </c>
      <c r="C3297" s="3" t="str">
        <f ca="1">IFERROR(ROWSDUMMYFUNCTION(IF(A3297="","",IFERROR(IMAGE(CONCATENATE("https://us.pandora.net/on/demandware.static/-/Sites-pandora-master-catalog/default/dwbb259ca6/productimages/singlepackshot/",LEFT(A3297,FIND("-",A3297&amp;"-")-1),"_RGB.png")),""))),"{""url"":""https://us.pandora.net/on/demandware.static/-/Sites-pandora-master-catalog/default/dwbb259ca6/productimages/singlepackshot/793671C00_RGB.png"",""mode"":1}")</f>
        <v>{"url":"https://us.pandora.net/on/demandware.static/-/Sites-pandora-master-catalog/default/dwbb259ca6/productimages/singlepackshot/793671C00_RGB.png","mode":1}</v>
      </c>
      <c r="D3297" s="5" t="str">
        <f ca="1">IFERROR(ROWSDUMMYFUNCTION(IF(A3297="","",CONCATENATE("https://us.pandora.net/on/demandware.static/-/Sites-pandora-master-catalog/default/dwbb259ca6/productimages/singlepackshot/",LEFT(A3297,FIND("-",A3297&amp;"-")-1),"_RGB.png"))),"https://us.pandora.net/on/demandware.static/-/Sites-pandora-master-catalog/default/dwbb259ca6/productimages/singlepackshot/793671C00_RGB.png")</f>
        <v>https://us.pandora.net/on/demandware.static/-/Sites-pandora-master-catalog/default/dwbb259ca6/productimages/singlepackshot/793671C00_RGB.png</v>
      </c>
    </row>
    <row r="3298" spans="1:4" x14ac:dyDescent="0.25">
      <c r="A3298" s="3" t="s">
        <v>3300</v>
      </c>
      <c r="B3298" s="4">
        <v>65</v>
      </c>
      <c r="C3298" s="3" t="str">
        <f ca="1">IFERROR(ROWSDUMMYFUNCTION(IF(A3298="","",IFERROR(IMAGE(CONCATENATE("https://us.pandora.net/on/demandware.static/-/Sites-pandora-master-catalog/default/dwbb259ca6/productimages/singlepackshot/",LEFT(A3298,FIND("-",A3298&amp;"-")-1),"_RGB.png")),""))),"{""url"":""https://us.pandora.net/on/demandware.static/-/Sites-pandora-master-catalog/default/dwbb259ca6/productimages/singlepackshot/793672C01_RGB.png"",""mode"":1}")</f>
        <v>{"url":"https://us.pandora.net/on/demandware.static/-/Sites-pandora-master-catalog/default/dwbb259ca6/productimages/singlepackshot/793672C01_RGB.png","mode":1}</v>
      </c>
      <c r="D3298" s="5" t="str">
        <f ca="1">IFERROR(ROWSDUMMYFUNCTION(IF(A3298="","",CONCATENATE("https://us.pandora.net/on/demandware.static/-/Sites-pandora-master-catalog/default/dwbb259ca6/productimages/singlepackshot/",LEFT(A3298,FIND("-",A3298&amp;"-")-1),"_RGB.png"))),"https://us.pandora.net/on/demandware.static/-/Sites-pandora-master-catalog/default/dwbb259ca6/productimages/singlepackshot/793672C01_RGB.png")</f>
        <v>https://us.pandora.net/on/demandware.static/-/Sites-pandora-master-catalog/default/dwbb259ca6/productimages/singlepackshot/793672C01_RGB.png</v>
      </c>
    </row>
    <row r="3299" spans="1:4" x14ac:dyDescent="0.25">
      <c r="A3299" s="3" t="s">
        <v>3301</v>
      </c>
      <c r="B3299" s="4">
        <v>55</v>
      </c>
      <c r="C3299" s="3" t="str">
        <f ca="1">IFERROR(ROWSDUMMYFUNCTION(IF(A3299="","",IFERROR(IMAGE(CONCATENATE("https://us.pandora.net/on/demandware.static/-/Sites-pandora-master-catalog/default/dwbb259ca6/productimages/singlepackshot/",LEFT(A3299,FIND("-",A3299&amp;"-")-1),"_RGB.png")),""))),"{""url"":""https://us.pandora.net/on/demandware.static/-/Sites-pandora-master-catalog/default/dwbb259ca6/productimages/singlepackshot/793673C01_RGB.png"",""mode"":1}")</f>
        <v>{"url":"https://us.pandora.net/on/demandware.static/-/Sites-pandora-master-catalog/default/dwbb259ca6/productimages/singlepackshot/793673C01_RGB.png","mode":1}</v>
      </c>
      <c r="D3299" s="5" t="str">
        <f ca="1">IFERROR(ROWSDUMMYFUNCTION(IF(A3299="","",CONCATENATE("https://us.pandora.net/on/demandware.static/-/Sites-pandora-master-catalog/default/dwbb259ca6/productimages/singlepackshot/",LEFT(A3299,FIND("-",A3299&amp;"-")-1),"_RGB.png"))),"https://us.pandora.net/on/demandware.static/-/Sites-pandora-master-catalog/default/dwbb259ca6/productimages/singlepackshot/793673C01_RGB.png")</f>
        <v>https://us.pandora.net/on/demandware.static/-/Sites-pandora-master-catalog/default/dwbb259ca6/productimages/singlepackshot/793673C01_RGB.png</v>
      </c>
    </row>
    <row r="3300" spans="1:4" x14ac:dyDescent="0.25">
      <c r="A3300" s="3" t="s">
        <v>3302</v>
      </c>
      <c r="B3300" s="4">
        <v>65</v>
      </c>
      <c r="C3300" s="3" t="str">
        <f ca="1">IFERROR(ROWSDUMMYFUNCTION(IF(A3300="","",IFERROR(IMAGE(CONCATENATE("https://us.pandora.net/on/demandware.static/-/Sites-pandora-master-catalog/default/dwbb259ca6/productimages/singlepackshot/",LEFT(A3300,FIND("-",A3300&amp;"-")-1),"_RGB.png")),""))),"{""url"":""https://us.pandora.net/on/demandware.static/-/Sites-pandora-master-catalog/default/dwbb259ca6/productimages/singlepackshot/793676C01_RGB.png"",""mode"":1}")</f>
        <v>{"url":"https://us.pandora.net/on/demandware.static/-/Sites-pandora-master-catalog/default/dwbb259ca6/productimages/singlepackshot/793676C01_RGB.png","mode":1}</v>
      </c>
      <c r="D3300" s="5" t="str">
        <f ca="1">IFERROR(ROWSDUMMYFUNCTION(IF(A3300="","",CONCATENATE("https://us.pandora.net/on/demandware.static/-/Sites-pandora-master-catalog/default/dwbb259ca6/productimages/singlepackshot/",LEFT(A3300,FIND("-",A3300&amp;"-")-1),"_RGB.png"))),"https://us.pandora.net/on/demandware.static/-/Sites-pandora-master-catalog/default/dwbb259ca6/productimages/singlepackshot/793676C01_RGB.png")</f>
        <v>https://us.pandora.net/on/demandware.static/-/Sites-pandora-master-catalog/default/dwbb259ca6/productimages/singlepackshot/793676C01_RGB.png</v>
      </c>
    </row>
    <row r="3301" spans="1:4" x14ac:dyDescent="0.25">
      <c r="A3301" s="3" t="s">
        <v>3303</v>
      </c>
      <c r="B3301" s="4">
        <v>45</v>
      </c>
      <c r="C3301" s="3" t="str">
        <f ca="1">IFERROR(ROWSDUMMYFUNCTION(IF(A3301="","",IFERROR(IMAGE(CONCATENATE("https://us.pandora.net/on/demandware.static/-/Sites-pandora-master-catalog/default/dwbb259ca6/productimages/singlepackshot/",LEFT(A3301,FIND("-",A3301&amp;"-")-1),"_RGB.png")),""))),"{""url"":""https://us.pandora.net/on/demandware.static/-/Sites-pandora-master-catalog/default/dwbb259ca6/productimages/singlepackshot/793679C01_RGB.png"",""mode"":1}")</f>
        <v>{"url":"https://us.pandora.net/on/demandware.static/-/Sites-pandora-master-catalog/default/dwbb259ca6/productimages/singlepackshot/793679C01_RGB.png","mode":1}</v>
      </c>
      <c r="D3301" s="5" t="str">
        <f ca="1">IFERROR(ROWSDUMMYFUNCTION(IF(A3301="","",CONCATENATE("https://us.pandora.net/on/demandware.static/-/Sites-pandora-master-catalog/default/dwbb259ca6/productimages/singlepackshot/",LEFT(A3301,FIND("-",A3301&amp;"-")-1),"_RGB.png"))),"https://us.pandora.net/on/demandware.static/-/Sites-pandora-master-catalog/default/dwbb259ca6/productimages/singlepackshot/793679C01_RGB.png")</f>
        <v>https://us.pandora.net/on/demandware.static/-/Sites-pandora-master-catalog/default/dwbb259ca6/productimages/singlepackshot/793679C01_RGB.png</v>
      </c>
    </row>
    <row r="3302" spans="1:4" x14ac:dyDescent="0.25">
      <c r="A3302" s="3" t="s">
        <v>3304</v>
      </c>
      <c r="B3302" s="4">
        <v>35</v>
      </c>
      <c r="C3302" s="3" t="str">
        <f ca="1">IFERROR(ROWSDUMMYFUNCTION(IF(A3302="","",IFERROR(IMAGE(CONCATENATE("https://us.pandora.net/on/demandware.static/-/Sites-pandora-master-catalog/default/dwbb259ca6/productimages/singlepackshot/",LEFT(A3302,FIND("-",A3302&amp;"-")-1),"_RGB.png")),""))),"{""url"":""https://us.pandora.net/on/demandware.static/-/Sites-pandora-master-catalog/default/dwbb259ca6/productimages/singlepackshot/793687C01_RGB.png"",""mode"":1}")</f>
        <v>{"url":"https://us.pandora.net/on/demandware.static/-/Sites-pandora-master-catalog/default/dwbb259ca6/productimages/singlepackshot/793687C01_RGB.png","mode":1}</v>
      </c>
      <c r="D3302" s="5" t="str">
        <f ca="1">IFERROR(ROWSDUMMYFUNCTION(IF(A3302="","",CONCATENATE("https://us.pandora.net/on/demandware.static/-/Sites-pandora-master-catalog/default/dwbb259ca6/productimages/singlepackshot/",LEFT(A3302,FIND("-",A3302&amp;"-")-1),"_RGB.png"))),"https://us.pandora.net/on/demandware.static/-/Sites-pandora-master-catalog/default/dwbb259ca6/productimages/singlepackshot/793687C01_RGB.png")</f>
        <v>https://us.pandora.net/on/demandware.static/-/Sites-pandora-master-catalog/default/dwbb259ca6/productimages/singlepackshot/793687C01_RGB.png</v>
      </c>
    </row>
    <row r="3303" spans="1:4" x14ac:dyDescent="0.25">
      <c r="A3303" s="3" t="s">
        <v>3305</v>
      </c>
      <c r="B3303" s="4">
        <v>49</v>
      </c>
      <c r="C3303" s="3" t="str">
        <f ca="1">IFERROR(ROWSDUMMYFUNCTION(IF(A3303="","",IFERROR(IMAGE(CONCATENATE("https://us.pandora.net/on/demandware.static/-/Sites-pandora-master-catalog/default/dwbb259ca6/productimages/singlepackshot/",LEFT(A3303,FIND("-",A3303&amp;"-")-1),"_RGB.png")),""))),"{""url"":""https://us.pandora.net/on/demandware.static/-/Sites-pandora-master-catalog/default/dwbb259ca6/productimages/singlepackshot/793688C01_RGB.png"",""mode"":1}")</f>
        <v>{"url":"https://us.pandora.net/on/demandware.static/-/Sites-pandora-master-catalog/default/dwbb259ca6/productimages/singlepackshot/793688C01_RGB.png","mode":1}</v>
      </c>
      <c r="D3303" s="5" t="str">
        <f ca="1">IFERROR(ROWSDUMMYFUNCTION(IF(A3303="","",CONCATENATE("https://us.pandora.net/on/demandware.static/-/Sites-pandora-master-catalog/default/dwbb259ca6/productimages/singlepackshot/",LEFT(A3303,FIND("-",A3303&amp;"-")-1),"_RGB.png"))),"https://us.pandora.net/on/demandware.static/-/Sites-pandora-master-catalog/default/dwbb259ca6/productimages/singlepackshot/793688C01_RGB.png")</f>
        <v>https://us.pandora.net/on/demandware.static/-/Sites-pandora-master-catalog/default/dwbb259ca6/productimages/singlepackshot/793688C01_RGB.png</v>
      </c>
    </row>
    <row r="3304" spans="1:4" x14ac:dyDescent="0.25">
      <c r="A3304" s="3" t="s">
        <v>3306</v>
      </c>
      <c r="B3304" s="4">
        <v>29</v>
      </c>
      <c r="C3304" s="3" t="str">
        <f ca="1">IFERROR(ROWSDUMMYFUNCTION(IF(A3304="","",IFERROR(IMAGE(CONCATENATE("https://us.pandora.net/on/demandware.static/-/Sites-pandora-master-catalog/default/dwbb259ca6/productimages/singlepackshot/",LEFT(A3304,FIND("-",A3304&amp;"-")-1),"_RGB.png")),""))),"{""url"":""https://us.pandora.net/on/demandware.static/-/Sites-pandora-master-catalog/default/dwbb259ca6/productimages/singlepackshot/793693C00_RGB.png"",""mode"":1}")</f>
        <v>{"url":"https://us.pandora.net/on/demandware.static/-/Sites-pandora-master-catalog/default/dwbb259ca6/productimages/singlepackshot/793693C00_RGB.png","mode":1}</v>
      </c>
      <c r="D3304" s="5" t="str">
        <f ca="1">IFERROR(ROWSDUMMYFUNCTION(IF(A3304="","",CONCATENATE("https://us.pandora.net/on/demandware.static/-/Sites-pandora-master-catalog/default/dwbb259ca6/productimages/singlepackshot/",LEFT(A3304,FIND("-",A3304&amp;"-")-1),"_RGB.png"))),"https://us.pandora.net/on/demandware.static/-/Sites-pandora-master-catalog/default/dwbb259ca6/productimages/singlepackshot/793693C00_RGB.png")</f>
        <v>https://us.pandora.net/on/demandware.static/-/Sites-pandora-master-catalog/default/dwbb259ca6/productimages/singlepackshot/793693C00_RGB.png</v>
      </c>
    </row>
    <row r="3305" spans="1:4" x14ac:dyDescent="0.25">
      <c r="A3305" s="3" t="s">
        <v>3307</v>
      </c>
      <c r="B3305" s="4">
        <v>39</v>
      </c>
      <c r="C3305" s="3" t="str">
        <f ca="1">IFERROR(ROWSDUMMYFUNCTION(IF(A3305="","",IFERROR(IMAGE(CONCATENATE("https://us.pandora.net/on/demandware.static/-/Sites-pandora-master-catalog/default/dwbb259ca6/productimages/singlepackshot/",LEFT(A3305,FIND("-",A3305&amp;"-")-1),"_RGB.png")),""))),"{""url"":""https://us.pandora.net/on/demandware.static/-/Sites-pandora-master-catalog/default/dwbb259ca6/productimages/singlepackshot/793704C02_RGB.png"",""mode"":1}")</f>
        <v>{"url":"https://us.pandora.net/on/demandware.static/-/Sites-pandora-master-catalog/default/dwbb259ca6/productimages/singlepackshot/793704C02_RGB.png","mode":1}</v>
      </c>
      <c r="D3305" s="5" t="str">
        <f ca="1">IFERROR(ROWSDUMMYFUNCTION(IF(A3305="","",CONCATENATE("https://us.pandora.net/on/demandware.static/-/Sites-pandora-master-catalog/default/dwbb259ca6/productimages/singlepackshot/",LEFT(A3305,FIND("-",A3305&amp;"-")-1),"_RGB.png"))),"https://us.pandora.net/on/demandware.static/-/Sites-pandora-master-catalog/default/dwbb259ca6/productimages/singlepackshot/793704C02_RGB.png")</f>
        <v>https://us.pandora.net/on/demandware.static/-/Sites-pandora-master-catalog/default/dwbb259ca6/productimages/singlepackshot/793704C02_RGB.png</v>
      </c>
    </row>
    <row r="3306" spans="1:4" x14ac:dyDescent="0.25">
      <c r="A3306" s="3" t="s">
        <v>3308</v>
      </c>
      <c r="B3306" s="4">
        <v>29</v>
      </c>
      <c r="C3306" s="3" t="str">
        <f ca="1">IFERROR(ROWSDUMMYFUNCTION(IF(A3306="","",IFERROR(IMAGE(CONCATENATE("https://us.pandora.net/on/demandware.static/-/Sites-pandora-master-catalog/default/dwbb259ca6/productimages/singlepackshot/",LEFT(A3306,FIND("-",A3306&amp;"-")-1),"_RGB.png")),""))),"{""url"":""https://us.pandora.net/on/demandware.static/-/Sites-pandora-master-catalog/default/dwbb259ca6/productimages/singlepackshot/793707C01_RGB.png"",""mode"":1}")</f>
        <v>{"url":"https://us.pandora.net/on/demandware.static/-/Sites-pandora-master-catalog/default/dwbb259ca6/productimages/singlepackshot/793707C01_RGB.png","mode":1}</v>
      </c>
      <c r="D3306" s="5" t="str">
        <f ca="1">IFERROR(ROWSDUMMYFUNCTION(IF(A3306="","",CONCATENATE("https://us.pandora.net/on/demandware.static/-/Sites-pandora-master-catalog/default/dwbb259ca6/productimages/singlepackshot/",LEFT(A3306,FIND("-",A3306&amp;"-")-1),"_RGB.png"))),"https://us.pandora.net/on/demandware.static/-/Sites-pandora-master-catalog/default/dwbb259ca6/productimages/singlepackshot/793707C01_RGB.png")</f>
        <v>https://us.pandora.net/on/demandware.static/-/Sites-pandora-master-catalog/default/dwbb259ca6/productimages/singlepackshot/793707C01_RGB.png</v>
      </c>
    </row>
    <row r="3307" spans="1:4" x14ac:dyDescent="0.25">
      <c r="A3307" s="3" t="s">
        <v>3309</v>
      </c>
      <c r="B3307" s="4">
        <v>69</v>
      </c>
      <c r="C3307" s="3" t="str">
        <f ca="1">IFERROR(ROWSDUMMYFUNCTION(IF(A3307="","",IFERROR(IMAGE(CONCATENATE("https://us.pandora.net/on/demandware.static/-/Sites-pandora-master-catalog/default/dwbb259ca6/productimages/singlepackshot/",LEFT(A3307,FIND("-",A3307&amp;"-")-1),"_RGB.png")),""))),"{""url"":""https://us.pandora.net/on/demandware.static/-/Sites-pandora-master-catalog/default/dwbb259ca6/productimages/singlepackshot/793739C01_RGB.png"",""mode"":1}")</f>
        <v>{"url":"https://us.pandora.net/on/demandware.static/-/Sites-pandora-master-catalog/default/dwbb259ca6/productimages/singlepackshot/793739C01_RGB.png","mode":1}</v>
      </c>
      <c r="D3307" s="5" t="str">
        <f ca="1">IFERROR(ROWSDUMMYFUNCTION(IF(A3307="","",CONCATENATE("https://us.pandora.net/on/demandware.static/-/Sites-pandora-master-catalog/default/dwbb259ca6/productimages/singlepackshot/",LEFT(A3307,FIND("-",A3307&amp;"-")-1),"_RGB.png"))),"https://us.pandora.net/on/demandware.static/-/Sites-pandora-master-catalog/default/dwbb259ca6/productimages/singlepackshot/793739C01_RGB.png")</f>
        <v>https://us.pandora.net/on/demandware.static/-/Sites-pandora-master-catalog/default/dwbb259ca6/productimages/singlepackshot/793739C01_RGB.png</v>
      </c>
    </row>
    <row r="3308" spans="1:4" x14ac:dyDescent="0.25">
      <c r="A3308" s="3" t="s">
        <v>3310</v>
      </c>
      <c r="B3308" s="4">
        <v>59</v>
      </c>
      <c r="C3308" s="3" t="str">
        <f ca="1">IFERROR(ROWSDUMMYFUNCTION(IF(A3308="","",IFERROR(IMAGE(CONCATENATE("https://us.pandora.net/on/demandware.static/-/Sites-pandora-master-catalog/default/dwbb259ca6/productimages/singlepackshot/",LEFT(A3308,FIND("-",A3308&amp;"-")-1),"_RGB.png")),""))),"{""url"":""https://us.pandora.net/on/demandware.static/-/Sites-pandora-master-catalog/default/dwbb259ca6/productimages/singlepackshot/793744C01_RGB.png"",""mode"":1}")</f>
        <v>{"url":"https://us.pandora.net/on/demandware.static/-/Sites-pandora-master-catalog/default/dwbb259ca6/productimages/singlepackshot/793744C01_RGB.png","mode":1}</v>
      </c>
      <c r="D3308" s="5" t="str">
        <f ca="1">IFERROR(ROWSDUMMYFUNCTION(IF(A3308="","",CONCATENATE("https://us.pandora.net/on/demandware.static/-/Sites-pandora-master-catalog/default/dwbb259ca6/productimages/singlepackshot/",LEFT(A3308,FIND("-",A3308&amp;"-")-1),"_RGB.png"))),"https://us.pandora.net/on/demandware.static/-/Sites-pandora-master-catalog/default/dwbb259ca6/productimages/singlepackshot/793744C01_RGB.png")</f>
        <v>https://us.pandora.net/on/demandware.static/-/Sites-pandora-master-catalog/default/dwbb259ca6/productimages/singlepackshot/793744C01_RGB.png</v>
      </c>
    </row>
    <row r="3309" spans="1:4" x14ac:dyDescent="0.25">
      <c r="A3309" s="3" t="s">
        <v>3311</v>
      </c>
      <c r="B3309" s="4">
        <v>65</v>
      </c>
      <c r="C3309" s="3" t="str">
        <f ca="1">IFERROR(ROWSDUMMYFUNCTION(IF(A3309="","",IFERROR(IMAGE(CONCATENATE("https://us.pandora.net/on/demandware.static/-/Sites-pandora-master-catalog/default/dwbb259ca6/productimages/singlepackshot/",LEFT(A3309,FIND("-",A3309&amp;"-")-1),"_RGB.png")),""))),"{""url"":""https://us.pandora.net/on/demandware.static/-/Sites-pandora-master-catalog/default/dwbb259ca6/productimages/singlepackshot/793745C01_RGB.png"",""mode"":1}")</f>
        <v>{"url":"https://us.pandora.net/on/demandware.static/-/Sites-pandora-master-catalog/default/dwbb259ca6/productimages/singlepackshot/793745C01_RGB.png","mode":1}</v>
      </c>
      <c r="D3309" s="5" t="str">
        <f ca="1">IFERROR(ROWSDUMMYFUNCTION(IF(A3309="","",CONCATENATE("https://us.pandora.net/on/demandware.static/-/Sites-pandora-master-catalog/default/dwbb259ca6/productimages/singlepackshot/",LEFT(A3309,FIND("-",A3309&amp;"-")-1),"_RGB.png"))),"https://us.pandora.net/on/demandware.static/-/Sites-pandora-master-catalog/default/dwbb259ca6/productimages/singlepackshot/793745C01_RGB.png")</f>
        <v>https://us.pandora.net/on/demandware.static/-/Sites-pandora-master-catalog/default/dwbb259ca6/productimages/singlepackshot/793745C01_RGB.png</v>
      </c>
    </row>
    <row r="3310" spans="1:4" x14ac:dyDescent="0.25">
      <c r="A3310" s="3" t="s">
        <v>3312</v>
      </c>
      <c r="B3310" s="4">
        <v>55</v>
      </c>
      <c r="C3310" s="3" t="str">
        <f ca="1">IFERROR(ROWSDUMMYFUNCTION(IF(A3310="","",IFERROR(IMAGE(CONCATENATE("https://us.pandora.net/on/demandware.static/-/Sites-pandora-master-catalog/default/dwbb259ca6/productimages/singlepackshot/",LEFT(A3310,FIND("-",A3310&amp;"-")-1),"_RGB.png")),""))),"{""url"":""https://us.pandora.net/on/demandware.static/-/Sites-pandora-master-catalog/default/dwbb259ca6/productimages/singlepackshot/793746C01_RGB.png"",""mode"":1}")</f>
        <v>{"url":"https://us.pandora.net/on/demandware.static/-/Sites-pandora-master-catalog/default/dwbb259ca6/productimages/singlepackshot/793746C01_RGB.png","mode":1}</v>
      </c>
      <c r="D3310" s="5" t="str">
        <f ca="1">IFERROR(ROWSDUMMYFUNCTION(IF(A3310="","",CONCATENATE("https://us.pandora.net/on/demandware.static/-/Sites-pandora-master-catalog/default/dwbb259ca6/productimages/singlepackshot/",LEFT(A3310,FIND("-",A3310&amp;"-")-1),"_RGB.png"))),"https://us.pandora.net/on/demandware.static/-/Sites-pandora-master-catalog/default/dwbb259ca6/productimages/singlepackshot/793746C01_RGB.png")</f>
        <v>https://us.pandora.net/on/demandware.static/-/Sites-pandora-master-catalog/default/dwbb259ca6/productimages/singlepackshot/793746C01_RGB.png</v>
      </c>
    </row>
    <row r="3311" spans="1:4" x14ac:dyDescent="0.25">
      <c r="A3311" s="3" t="s">
        <v>3313</v>
      </c>
      <c r="B3311" s="4">
        <v>79</v>
      </c>
      <c r="C3311" s="3" t="str">
        <f ca="1">IFERROR(ROWSDUMMYFUNCTION(IF(A3311="","",IFERROR(IMAGE(CONCATENATE("https://us.pandora.net/on/demandware.static/-/Sites-pandora-master-catalog/default/dwbb259ca6/productimages/singlepackshot/",LEFT(A3311,FIND("-",A3311&amp;"-")-1),"_RGB.png")),""))),"{""url"":""https://us.pandora.net/on/demandware.static/-/Sites-pandora-master-catalog/default/dwbb259ca6/productimages/singlepackshot/793747C01_RGB.png"",""mode"":1}")</f>
        <v>{"url":"https://us.pandora.net/on/demandware.static/-/Sites-pandora-master-catalog/default/dwbb259ca6/productimages/singlepackshot/793747C01_RGB.png","mode":1}</v>
      </c>
      <c r="D3311" s="5" t="str">
        <f ca="1">IFERROR(ROWSDUMMYFUNCTION(IF(A3311="","",CONCATENATE("https://us.pandora.net/on/demandware.static/-/Sites-pandora-master-catalog/default/dwbb259ca6/productimages/singlepackshot/",LEFT(A3311,FIND("-",A3311&amp;"-")-1),"_RGB.png"))),"https://us.pandora.net/on/demandware.static/-/Sites-pandora-master-catalog/default/dwbb259ca6/productimages/singlepackshot/793747C01_RGB.png")</f>
        <v>https://us.pandora.net/on/demandware.static/-/Sites-pandora-master-catalog/default/dwbb259ca6/productimages/singlepackshot/793747C01_RGB.png</v>
      </c>
    </row>
    <row r="3312" spans="1:4" x14ac:dyDescent="0.25">
      <c r="A3312" s="3" t="s">
        <v>3314</v>
      </c>
      <c r="B3312" s="4">
        <v>49</v>
      </c>
      <c r="C3312" s="3" t="str">
        <f ca="1">IFERROR(ROWSDUMMYFUNCTION(IF(A3312="","",IFERROR(IMAGE(CONCATENATE("https://us.pandora.net/on/demandware.static/-/Sites-pandora-master-catalog/default/dwbb259ca6/productimages/singlepackshot/",LEFT(A3312,FIND("-",A3312&amp;"-")-1),"_RGB.png")),""))),"{""url"":""https://us.pandora.net/on/demandware.static/-/Sites-pandora-master-catalog/default/dwbb259ca6/productimages/singlepackshot/793748C01_RGB.png"",""mode"":1}")</f>
        <v>{"url":"https://us.pandora.net/on/demandware.static/-/Sites-pandora-master-catalog/default/dwbb259ca6/productimages/singlepackshot/793748C01_RGB.png","mode":1}</v>
      </c>
      <c r="D3312" s="5" t="str">
        <f ca="1">IFERROR(ROWSDUMMYFUNCTION(IF(A3312="","",CONCATENATE("https://us.pandora.net/on/demandware.static/-/Sites-pandora-master-catalog/default/dwbb259ca6/productimages/singlepackshot/",LEFT(A3312,FIND("-",A3312&amp;"-")-1),"_RGB.png"))),"https://us.pandora.net/on/demandware.static/-/Sites-pandora-master-catalog/default/dwbb259ca6/productimages/singlepackshot/793748C01_RGB.png")</f>
        <v>https://us.pandora.net/on/demandware.static/-/Sites-pandora-master-catalog/default/dwbb259ca6/productimages/singlepackshot/793748C01_RGB.png</v>
      </c>
    </row>
    <row r="3313" spans="1:4" x14ac:dyDescent="0.25">
      <c r="A3313" s="3" t="s">
        <v>3315</v>
      </c>
      <c r="B3313" s="4">
        <v>69</v>
      </c>
      <c r="C3313" s="3" t="str">
        <f ca="1">IFERROR(ROWSDUMMYFUNCTION(IF(A3313="","",IFERROR(IMAGE(CONCATENATE("https://us.pandora.net/on/demandware.static/-/Sites-pandora-master-catalog/default/dwbb259ca6/productimages/singlepackshot/",LEFT(A3313,FIND("-",A3313&amp;"-")-1),"_RGB.png")),""))),"{""url"":""https://us.pandora.net/on/demandware.static/-/Sites-pandora-master-catalog/default/dwbb259ca6/productimages/singlepackshot/793749C01_RGB.png"",""mode"":1}")</f>
        <v>{"url":"https://us.pandora.net/on/demandware.static/-/Sites-pandora-master-catalog/default/dwbb259ca6/productimages/singlepackshot/793749C01_RGB.png","mode":1}</v>
      </c>
      <c r="D3313" s="5" t="str">
        <f ca="1">IFERROR(ROWSDUMMYFUNCTION(IF(A3313="","",CONCATENATE("https://us.pandora.net/on/demandware.static/-/Sites-pandora-master-catalog/default/dwbb259ca6/productimages/singlepackshot/",LEFT(A3313,FIND("-",A3313&amp;"-")-1),"_RGB.png"))),"https://us.pandora.net/on/demandware.static/-/Sites-pandora-master-catalog/default/dwbb259ca6/productimages/singlepackshot/793749C01_RGB.png")</f>
        <v>https://us.pandora.net/on/demandware.static/-/Sites-pandora-master-catalog/default/dwbb259ca6/productimages/singlepackshot/793749C01_RGB.png</v>
      </c>
    </row>
    <row r="3314" spans="1:4" x14ac:dyDescent="0.25">
      <c r="A3314" s="3" t="s">
        <v>3316</v>
      </c>
      <c r="B3314" s="4">
        <v>59</v>
      </c>
      <c r="C3314" s="3" t="str">
        <f ca="1">IFERROR(ROWSDUMMYFUNCTION(IF(A3314="","",IFERROR(IMAGE(CONCATENATE("https://us.pandora.net/on/demandware.static/-/Sites-pandora-master-catalog/default/dwbb259ca6/productimages/singlepackshot/",LEFT(A3314,FIND("-",A3314&amp;"-")-1),"_RGB.png")),""))),"{""url"":""https://us.pandora.net/on/demandware.static/-/Sites-pandora-master-catalog/default/dwbb259ca6/productimages/singlepackshot/793751C01_RGB.png"",""mode"":1}")</f>
        <v>{"url":"https://us.pandora.net/on/demandware.static/-/Sites-pandora-master-catalog/default/dwbb259ca6/productimages/singlepackshot/793751C01_RGB.png","mode":1}</v>
      </c>
      <c r="D3314" s="5" t="str">
        <f ca="1">IFERROR(ROWSDUMMYFUNCTION(IF(A3314="","",CONCATENATE("https://us.pandora.net/on/demandware.static/-/Sites-pandora-master-catalog/default/dwbb259ca6/productimages/singlepackshot/",LEFT(A3314,FIND("-",A3314&amp;"-")-1),"_RGB.png"))),"https://us.pandora.net/on/demandware.static/-/Sites-pandora-master-catalog/default/dwbb259ca6/productimages/singlepackshot/793751C01_RGB.png")</f>
        <v>https://us.pandora.net/on/demandware.static/-/Sites-pandora-master-catalog/default/dwbb259ca6/productimages/singlepackshot/793751C01_RGB.png</v>
      </c>
    </row>
    <row r="3315" spans="1:4" x14ac:dyDescent="0.25">
      <c r="A3315" s="3" t="s">
        <v>3317</v>
      </c>
      <c r="B3315" s="4">
        <v>29</v>
      </c>
      <c r="C3315" s="3" t="str">
        <f ca="1">IFERROR(ROWSDUMMYFUNCTION(IF(A3315="","",IFERROR(IMAGE(CONCATENATE("https://us.pandora.net/on/demandware.static/-/Sites-pandora-master-catalog/default/dwbb259ca6/productimages/singlepackshot/",LEFT(A3315,FIND("-",A3315&amp;"-")-1),"_RGB.png")),""))),"{""url"":""https://us.pandora.net/on/demandware.static/-/Sites-pandora-master-catalog/default/dwbb259ca6/productimages/singlepackshot/793755C00_RGB.png"",""mode"":1}")</f>
        <v>{"url":"https://us.pandora.net/on/demandware.static/-/Sites-pandora-master-catalog/default/dwbb259ca6/productimages/singlepackshot/793755C00_RGB.png","mode":1}</v>
      </c>
      <c r="D3315" s="5" t="str">
        <f ca="1">IFERROR(ROWSDUMMYFUNCTION(IF(A3315="","",CONCATENATE("https://us.pandora.net/on/demandware.static/-/Sites-pandora-master-catalog/default/dwbb259ca6/productimages/singlepackshot/",LEFT(A3315,FIND("-",A3315&amp;"-")-1),"_RGB.png"))),"https://us.pandora.net/on/demandware.static/-/Sites-pandora-master-catalog/default/dwbb259ca6/productimages/singlepackshot/793755C00_RGB.png")</f>
        <v>https://us.pandora.net/on/demandware.static/-/Sites-pandora-master-catalog/default/dwbb259ca6/productimages/singlepackshot/793755C00_RGB.png</v>
      </c>
    </row>
    <row r="3316" spans="1:4" x14ac:dyDescent="0.25">
      <c r="A3316" s="3" t="s">
        <v>3318</v>
      </c>
      <c r="B3316" s="4">
        <v>59</v>
      </c>
      <c r="C3316" s="3" t="str">
        <f ca="1">IFERROR(ROWSDUMMYFUNCTION(IF(A3316="","",IFERROR(IMAGE(CONCATENATE("https://us.pandora.net/on/demandware.static/-/Sites-pandora-master-catalog/default/dwbb259ca6/productimages/singlepackshot/",LEFT(A3316,FIND("-",A3316&amp;"-")-1),"_RGB.png")),""))),"{""url"":""https://us.pandora.net/on/demandware.static/-/Sites-pandora-master-catalog/default/dwbb259ca6/productimages/singlepackshot/793765C01_RGB.png"",""mode"":1}")</f>
        <v>{"url":"https://us.pandora.net/on/demandware.static/-/Sites-pandora-master-catalog/default/dwbb259ca6/productimages/singlepackshot/793765C01_RGB.png","mode":1}</v>
      </c>
      <c r="D3316" s="5" t="str">
        <f ca="1">IFERROR(ROWSDUMMYFUNCTION(IF(A3316="","",CONCATENATE("https://us.pandora.net/on/demandware.static/-/Sites-pandora-master-catalog/default/dwbb259ca6/productimages/singlepackshot/",LEFT(A3316,FIND("-",A3316&amp;"-")-1),"_RGB.png"))),"https://us.pandora.net/on/demandware.static/-/Sites-pandora-master-catalog/default/dwbb259ca6/productimages/singlepackshot/793765C01_RGB.png")</f>
        <v>https://us.pandora.net/on/demandware.static/-/Sites-pandora-master-catalog/default/dwbb259ca6/productimages/singlepackshot/793765C01_RGB.png</v>
      </c>
    </row>
    <row r="3317" spans="1:4" x14ac:dyDescent="0.25">
      <c r="A3317" s="3" t="s">
        <v>3319</v>
      </c>
      <c r="B3317" s="4">
        <v>65</v>
      </c>
      <c r="C3317" s="3" t="str">
        <f ca="1">IFERROR(ROWSDUMMYFUNCTION(IF(A3317="","",IFERROR(IMAGE(CONCATENATE("https://us.pandora.net/on/demandware.static/-/Sites-pandora-master-catalog/default/dwbb259ca6/productimages/singlepackshot/",LEFT(A3317,FIND("-",A3317&amp;"-")-1),"_RGB.png")),""))),"{""url"":""https://us.pandora.net/on/demandware.static/-/Sites-pandora-master-catalog/default/dwbb259ca6/productimages/singlepackshot/793766C01_RGB.png"",""mode"":1}")</f>
        <v>{"url":"https://us.pandora.net/on/demandware.static/-/Sites-pandora-master-catalog/default/dwbb259ca6/productimages/singlepackshot/793766C01_RGB.png","mode":1}</v>
      </c>
      <c r="D3317" s="5" t="str">
        <f ca="1">IFERROR(ROWSDUMMYFUNCTION(IF(A3317="","",CONCATENATE("https://us.pandora.net/on/demandware.static/-/Sites-pandora-master-catalog/default/dwbb259ca6/productimages/singlepackshot/",LEFT(A3317,FIND("-",A3317&amp;"-")-1),"_RGB.png"))),"https://us.pandora.net/on/demandware.static/-/Sites-pandora-master-catalog/default/dwbb259ca6/productimages/singlepackshot/793766C01_RGB.png")</f>
        <v>https://us.pandora.net/on/demandware.static/-/Sites-pandora-master-catalog/default/dwbb259ca6/productimages/singlepackshot/793766C01_RGB.png</v>
      </c>
    </row>
    <row r="3318" spans="1:4" x14ac:dyDescent="0.25">
      <c r="A3318" s="3" t="s">
        <v>3320</v>
      </c>
      <c r="B3318" s="4">
        <v>35</v>
      </c>
      <c r="C3318" s="3" t="str">
        <f ca="1">IFERROR(ROWSDUMMYFUNCTION(IF(A3318="","",IFERROR(IMAGE(CONCATENATE("https://us.pandora.net/on/demandware.static/-/Sites-pandora-master-catalog/default/dwbb259ca6/productimages/singlepackshot/",LEFT(A3318,FIND("-",A3318&amp;"-")-1),"_RGB.png")),""))),"{""url"":""https://us.pandora.net/on/demandware.static/-/Sites-pandora-master-catalog/default/dwbb259ca6/productimages/singlepackshot/793768C01_RGB.png"",""mode"":1}")</f>
        <v>{"url":"https://us.pandora.net/on/demandware.static/-/Sites-pandora-master-catalog/default/dwbb259ca6/productimages/singlepackshot/793768C01_RGB.png","mode":1}</v>
      </c>
      <c r="D3318" s="5" t="str">
        <f ca="1">IFERROR(ROWSDUMMYFUNCTION(IF(A3318="","",CONCATENATE("https://us.pandora.net/on/demandware.static/-/Sites-pandora-master-catalog/default/dwbb259ca6/productimages/singlepackshot/",LEFT(A3318,FIND("-",A3318&amp;"-")-1),"_RGB.png"))),"https://us.pandora.net/on/demandware.static/-/Sites-pandora-master-catalog/default/dwbb259ca6/productimages/singlepackshot/793768C01_RGB.png")</f>
        <v>https://us.pandora.net/on/demandware.static/-/Sites-pandora-master-catalog/default/dwbb259ca6/productimages/singlepackshot/793768C01_RGB.png</v>
      </c>
    </row>
    <row r="3319" spans="1:4" x14ac:dyDescent="0.25">
      <c r="A3319" s="3" t="s">
        <v>3321</v>
      </c>
      <c r="B3319" s="4">
        <v>65</v>
      </c>
      <c r="C3319" s="3" t="str">
        <f ca="1">IFERROR(ROWSDUMMYFUNCTION(IF(A3319="","",IFERROR(IMAGE(CONCATENATE("https://us.pandora.net/on/demandware.static/-/Sites-pandora-master-catalog/default/dwbb259ca6/productimages/singlepackshot/",LEFT(A3319,FIND("-",A3319&amp;"-")-1),"_RGB.png")),""))),"{""url"":""https://us.pandora.net/on/demandware.static/-/Sites-pandora-master-catalog/default/dwbb259ca6/productimages/singlepackshot/793771C01_RGB.png"",""mode"":1}")</f>
        <v>{"url":"https://us.pandora.net/on/demandware.static/-/Sites-pandora-master-catalog/default/dwbb259ca6/productimages/singlepackshot/793771C01_RGB.png","mode":1}</v>
      </c>
      <c r="D3319" s="5" t="str">
        <f ca="1">IFERROR(ROWSDUMMYFUNCTION(IF(A3319="","",CONCATENATE("https://us.pandora.net/on/demandware.static/-/Sites-pandora-master-catalog/default/dwbb259ca6/productimages/singlepackshot/",LEFT(A3319,FIND("-",A3319&amp;"-")-1),"_RGB.png"))),"https://us.pandora.net/on/demandware.static/-/Sites-pandora-master-catalog/default/dwbb259ca6/productimages/singlepackshot/793771C01_RGB.png")</f>
        <v>https://us.pandora.net/on/demandware.static/-/Sites-pandora-master-catalog/default/dwbb259ca6/productimages/singlepackshot/793771C01_RGB.png</v>
      </c>
    </row>
    <row r="3320" spans="1:4" x14ac:dyDescent="0.25">
      <c r="A3320" s="3" t="s">
        <v>3322</v>
      </c>
      <c r="B3320" s="4">
        <v>29</v>
      </c>
      <c r="C3320" s="3" t="str">
        <f ca="1">IFERROR(ROWSDUMMYFUNCTION(IF(A3320="","",IFERROR(IMAGE(CONCATENATE("https://us.pandora.net/on/demandware.static/-/Sites-pandora-master-catalog/default/dwbb259ca6/productimages/singlepackshot/",LEFT(A3320,FIND("-",A3320&amp;"-")-1),"_RGB.png")),""))),"{""url"":""https://us.pandora.net/on/demandware.static/-/Sites-pandora-master-catalog/default/dwbb259ca6/productimages/singlepackshot/793772C01_RGB.png"",""mode"":1}")</f>
        <v>{"url":"https://us.pandora.net/on/demandware.static/-/Sites-pandora-master-catalog/default/dwbb259ca6/productimages/singlepackshot/793772C01_RGB.png","mode":1}</v>
      </c>
      <c r="D3320" s="5" t="str">
        <f ca="1">IFERROR(ROWSDUMMYFUNCTION(IF(A3320="","",CONCATENATE("https://us.pandora.net/on/demandware.static/-/Sites-pandora-master-catalog/default/dwbb259ca6/productimages/singlepackshot/",LEFT(A3320,FIND("-",A3320&amp;"-")-1),"_RGB.png"))),"https://us.pandora.net/on/demandware.static/-/Sites-pandora-master-catalog/default/dwbb259ca6/productimages/singlepackshot/793772C01_RGB.png")</f>
        <v>https://us.pandora.net/on/demandware.static/-/Sites-pandora-master-catalog/default/dwbb259ca6/productimages/singlepackshot/793772C01_RGB.png</v>
      </c>
    </row>
    <row r="3321" spans="1:4" x14ac:dyDescent="0.25">
      <c r="A3321" s="3" t="s">
        <v>3323</v>
      </c>
      <c r="B3321" s="4">
        <v>59</v>
      </c>
      <c r="C3321" s="3" t="str">
        <f ca="1">IFERROR(ROWSDUMMYFUNCTION(IF(A3321="","",IFERROR(IMAGE(CONCATENATE("https://us.pandora.net/on/demandware.static/-/Sites-pandora-master-catalog/default/dwbb259ca6/productimages/singlepackshot/",LEFT(A3321,FIND("-",A3321&amp;"-")-1),"_RGB.png")),""))),"{""url"":""https://us.pandora.net/on/demandware.static/-/Sites-pandora-master-catalog/default/dwbb259ca6/productimages/singlepackshot/793780C01_RGB.png"",""mode"":1}")</f>
        <v>{"url":"https://us.pandora.net/on/demandware.static/-/Sites-pandora-master-catalog/default/dwbb259ca6/productimages/singlepackshot/793780C01_RGB.png","mode":1}</v>
      </c>
      <c r="D3321" s="5" t="str">
        <f ca="1">IFERROR(ROWSDUMMYFUNCTION(IF(A3321="","",CONCATENATE("https://us.pandora.net/on/demandware.static/-/Sites-pandora-master-catalog/default/dwbb259ca6/productimages/singlepackshot/",LEFT(A3321,FIND("-",A3321&amp;"-")-1),"_RGB.png"))),"https://us.pandora.net/on/demandware.static/-/Sites-pandora-master-catalog/default/dwbb259ca6/productimages/singlepackshot/793780C01_RGB.png")</f>
        <v>https://us.pandora.net/on/demandware.static/-/Sites-pandora-master-catalog/default/dwbb259ca6/productimages/singlepackshot/793780C01_RGB.png</v>
      </c>
    </row>
    <row r="3322" spans="1:4" x14ac:dyDescent="0.25">
      <c r="A3322" s="3" t="s">
        <v>3324</v>
      </c>
      <c r="B3322" s="4">
        <v>49</v>
      </c>
      <c r="C3322" s="3" t="str">
        <f ca="1">IFERROR(ROWSDUMMYFUNCTION(IF(A3322="","",IFERROR(IMAGE(CONCATENATE("https://us.pandora.net/on/demandware.static/-/Sites-pandora-master-catalog/default/dwbb259ca6/productimages/singlepackshot/",LEFT(A3322,FIND("-",A3322&amp;"-")-1),"_RGB.png")),""))),"{""url"":""https://us.pandora.net/on/demandware.static/-/Sites-pandora-master-catalog/default/dwbb259ca6/productimages/singlepackshot/793781C01_RGB.png"",""mode"":1}")</f>
        <v>{"url":"https://us.pandora.net/on/demandware.static/-/Sites-pandora-master-catalog/default/dwbb259ca6/productimages/singlepackshot/793781C01_RGB.png","mode":1}</v>
      </c>
      <c r="D3322" s="5" t="str">
        <f ca="1">IFERROR(ROWSDUMMYFUNCTION(IF(A3322="","",CONCATENATE("https://us.pandora.net/on/demandware.static/-/Sites-pandora-master-catalog/default/dwbb259ca6/productimages/singlepackshot/",LEFT(A3322,FIND("-",A3322&amp;"-")-1),"_RGB.png"))),"https://us.pandora.net/on/demandware.static/-/Sites-pandora-master-catalog/default/dwbb259ca6/productimages/singlepackshot/793781C01_RGB.png")</f>
        <v>https://us.pandora.net/on/demandware.static/-/Sites-pandora-master-catalog/default/dwbb259ca6/productimages/singlepackshot/793781C01_RGB.png</v>
      </c>
    </row>
    <row r="3323" spans="1:4" x14ac:dyDescent="0.25">
      <c r="A3323" s="3" t="s">
        <v>3325</v>
      </c>
      <c r="B3323" s="4">
        <v>99</v>
      </c>
      <c r="C3323" s="3" t="str">
        <f ca="1">IFERROR(ROWSDUMMYFUNCTION(IF(A3323="","",IFERROR(IMAGE(CONCATENATE("https://us.pandora.net/on/demandware.static/-/Sites-pandora-master-catalog/default/dwbb259ca6/productimages/singlepackshot/",LEFT(A3323,FIND("-",A3323&amp;"-")-1),"_RGB.png")),""))),"{""url"":""https://us.pandora.net/on/demandware.static/-/Sites-pandora-master-catalog/default/dwbb259ca6/productimages/singlepackshot/793783C01_RGB.png"",""mode"":1}")</f>
        <v>{"url":"https://us.pandora.net/on/demandware.static/-/Sites-pandora-master-catalog/default/dwbb259ca6/productimages/singlepackshot/793783C01_RGB.png","mode":1}</v>
      </c>
      <c r="D3323" s="5" t="str">
        <f ca="1">IFERROR(ROWSDUMMYFUNCTION(IF(A3323="","",CONCATENATE("https://us.pandora.net/on/demandware.static/-/Sites-pandora-master-catalog/default/dwbb259ca6/productimages/singlepackshot/",LEFT(A3323,FIND("-",A3323&amp;"-")-1),"_RGB.png"))),"https://us.pandora.net/on/demandware.static/-/Sites-pandora-master-catalog/default/dwbb259ca6/productimages/singlepackshot/793783C01_RGB.png")</f>
        <v>https://us.pandora.net/on/demandware.static/-/Sites-pandora-master-catalog/default/dwbb259ca6/productimages/singlepackshot/793783C01_RGB.png</v>
      </c>
    </row>
    <row r="3324" spans="1:4" x14ac:dyDescent="0.25">
      <c r="A3324" s="3" t="s">
        <v>3326</v>
      </c>
      <c r="B3324" s="4">
        <v>45</v>
      </c>
      <c r="C3324" s="3" t="str">
        <f ca="1">IFERROR(ROWSDUMMYFUNCTION(IF(A3324="","",IFERROR(IMAGE(CONCATENATE("https://us.pandora.net/on/demandware.static/-/Sites-pandora-master-catalog/default/dwbb259ca6/productimages/singlepackshot/",LEFT(A3324,FIND("-",A3324&amp;"-")-1),"_RGB.png")),""))),"{""url"":""https://us.pandora.net/on/demandware.static/-/Sites-pandora-master-catalog/default/dwbb259ca6/productimages/singlepackshot/793785C01_RGB.png"",""mode"":1}")</f>
        <v>{"url":"https://us.pandora.net/on/demandware.static/-/Sites-pandora-master-catalog/default/dwbb259ca6/productimages/singlepackshot/793785C01_RGB.png","mode":1}</v>
      </c>
      <c r="D3324" s="5" t="str">
        <f ca="1">IFERROR(ROWSDUMMYFUNCTION(IF(A3324="","",CONCATENATE("https://us.pandora.net/on/demandware.static/-/Sites-pandora-master-catalog/default/dwbb259ca6/productimages/singlepackshot/",LEFT(A3324,FIND("-",A3324&amp;"-")-1),"_RGB.png"))),"https://us.pandora.net/on/demandware.static/-/Sites-pandora-master-catalog/default/dwbb259ca6/productimages/singlepackshot/793785C01_RGB.png")</f>
        <v>https://us.pandora.net/on/demandware.static/-/Sites-pandora-master-catalog/default/dwbb259ca6/productimages/singlepackshot/793785C01_RGB.png</v>
      </c>
    </row>
    <row r="3325" spans="1:4" x14ac:dyDescent="0.25">
      <c r="A3325" s="3" t="s">
        <v>3327</v>
      </c>
      <c r="B3325" s="4">
        <v>39</v>
      </c>
      <c r="C3325" s="3" t="str">
        <f ca="1">IFERROR(ROWSDUMMYFUNCTION(IF(A3325="","",IFERROR(IMAGE(CONCATENATE("https://us.pandora.net/on/demandware.static/-/Sites-pandora-master-catalog/default/dwbb259ca6/productimages/singlepackshot/",LEFT(A3325,FIND("-",A3325&amp;"-")-1),"_RGB.png")),""))),"{""url"":""https://us.pandora.net/on/demandware.static/-/Sites-pandora-master-catalog/default/dwbb259ca6/productimages/singlepackshot/793788C01_RGB.png"",""mode"":1}")</f>
        <v>{"url":"https://us.pandora.net/on/demandware.static/-/Sites-pandora-master-catalog/default/dwbb259ca6/productimages/singlepackshot/793788C01_RGB.png","mode":1}</v>
      </c>
      <c r="D3325" s="5" t="str">
        <f ca="1">IFERROR(ROWSDUMMYFUNCTION(IF(A3325="","",CONCATENATE("https://us.pandora.net/on/demandware.static/-/Sites-pandora-master-catalog/default/dwbb259ca6/productimages/singlepackshot/",LEFT(A3325,FIND("-",A3325&amp;"-")-1),"_RGB.png"))),"https://us.pandora.net/on/demandware.static/-/Sites-pandora-master-catalog/default/dwbb259ca6/productimages/singlepackshot/793788C01_RGB.png")</f>
        <v>https://us.pandora.net/on/demandware.static/-/Sites-pandora-master-catalog/default/dwbb259ca6/productimages/singlepackshot/793788C01_RGB.png</v>
      </c>
    </row>
    <row r="3326" spans="1:4" x14ac:dyDescent="0.25">
      <c r="A3326" s="3" t="s">
        <v>3328</v>
      </c>
      <c r="B3326" s="4">
        <v>69</v>
      </c>
      <c r="C3326" s="3" t="str">
        <f ca="1">IFERROR(ROWSDUMMYFUNCTION(IF(A3326="","",IFERROR(IMAGE(CONCATENATE("https://us.pandora.net/on/demandware.static/-/Sites-pandora-master-catalog/default/dwbb259ca6/productimages/singlepackshot/",LEFT(A3326,FIND("-",A3326&amp;"-")-1),"_RGB.png")),""))),"{""url"":""https://us.pandora.net/on/demandware.static/-/Sites-pandora-master-catalog/default/dwbb259ca6/productimages/singlepackshot/793789C01_RGB.png"",""mode"":1}")</f>
        <v>{"url":"https://us.pandora.net/on/demandware.static/-/Sites-pandora-master-catalog/default/dwbb259ca6/productimages/singlepackshot/793789C01_RGB.png","mode":1}</v>
      </c>
      <c r="D3326" s="5" t="str">
        <f ca="1">IFERROR(ROWSDUMMYFUNCTION(IF(A3326="","",CONCATENATE("https://us.pandora.net/on/demandware.static/-/Sites-pandora-master-catalog/default/dwbb259ca6/productimages/singlepackshot/",LEFT(A3326,FIND("-",A3326&amp;"-")-1),"_RGB.png"))),"https://us.pandora.net/on/demandware.static/-/Sites-pandora-master-catalog/default/dwbb259ca6/productimages/singlepackshot/793789C01_RGB.png")</f>
        <v>https://us.pandora.net/on/demandware.static/-/Sites-pandora-master-catalog/default/dwbb259ca6/productimages/singlepackshot/793789C01_RGB.png</v>
      </c>
    </row>
    <row r="3327" spans="1:4" x14ac:dyDescent="0.25">
      <c r="A3327" s="3" t="s">
        <v>3329</v>
      </c>
      <c r="B3327" s="4">
        <v>69</v>
      </c>
      <c r="C3327" s="3" t="str">
        <f ca="1">IFERROR(ROWSDUMMYFUNCTION(IF(A3327="","",IFERROR(IMAGE(CONCATENATE("https://us.pandora.net/on/demandware.static/-/Sites-pandora-master-catalog/default/dwbb259ca6/productimages/singlepackshot/",LEFT(A3327,FIND("-",A3327&amp;"-")-1),"_RGB.png")),""))),"{""url"":""https://us.pandora.net/on/demandware.static/-/Sites-pandora-master-catalog/default/dwbb259ca6/productimages/singlepackshot/793815C01_RGB.png"",""mode"":1}")</f>
        <v>{"url":"https://us.pandora.net/on/demandware.static/-/Sites-pandora-master-catalog/default/dwbb259ca6/productimages/singlepackshot/793815C01_RGB.png","mode":1}</v>
      </c>
      <c r="D3327" s="5" t="str">
        <f ca="1">IFERROR(ROWSDUMMYFUNCTION(IF(A3327="","",CONCATENATE("https://us.pandora.net/on/demandware.static/-/Sites-pandora-master-catalog/default/dwbb259ca6/productimages/singlepackshot/",LEFT(A3327,FIND("-",A3327&amp;"-")-1),"_RGB.png"))),"https://us.pandora.net/on/demandware.static/-/Sites-pandora-master-catalog/default/dwbb259ca6/productimages/singlepackshot/793815C01_RGB.png")</f>
        <v>https://us.pandora.net/on/demandware.static/-/Sites-pandora-master-catalog/default/dwbb259ca6/productimages/singlepackshot/793815C01_RGB.png</v>
      </c>
    </row>
    <row r="3328" spans="1:4" x14ac:dyDescent="0.25">
      <c r="A3328" s="3" t="s">
        <v>3330</v>
      </c>
      <c r="B3328" s="4">
        <v>29</v>
      </c>
      <c r="C3328" s="3" t="str">
        <f ca="1">IFERROR(ROWSDUMMYFUNCTION(IF(A3328="","",IFERROR(IMAGE(CONCATENATE("https://us.pandora.net/on/demandware.static/-/Sites-pandora-master-catalog/default/dwbb259ca6/productimages/singlepackshot/",LEFT(A3328,FIND("-",A3328&amp;"-")-1),"_RGB.png")),""))),"{""url"":""https://us.pandora.net/on/demandware.static/-/Sites-pandora-master-catalog/default/dwbb259ca6/productimages/singlepackshot/793817C01_RGB.png"",""mode"":1}")</f>
        <v>{"url":"https://us.pandora.net/on/demandware.static/-/Sites-pandora-master-catalog/default/dwbb259ca6/productimages/singlepackshot/793817C01_RGB.png","mode":1}</v>
      </c>
      <c r="D3328" s="5" t="str">
        <f ca="1">IFERROR(ROWSDUMMYFUNCTION(IF(A3328="","",CONCATENATE("https://us.pandora.net/on/demandware.static/-/Sites-pandora-master-catalog/default/dwbb259ca6/productimages/singlepackshot/",LEFT(A3328,FIND("-",A3328&amp;"-")-1),"_RGB.png"))),"https://us.pandora.net/on/demandware.static/-/Sites-pandora-master-catalog/default/dwbb259ca6/productimages/singlepackshot/793817C01_RGB.png")</f>
        <v>https://us.pandora.net/on/demandware.static/-/Sites-pandora-master-catalog/default/dwbb259ca6/productimages/singlepackshot/793817C01_RGB.png</v>
      </c>
    </row>
    <row r="3329" spans="1:4" x14ac:dyDescent="0.25">
      <c r="A3329" s="3" t="s">
        <v>3331</v>
      </c>
      <c r="B3329" s="4">
        <v>19</v>
      </c>
      <c r="C3329" s="3" t="str">
        <f ca="1">IFERROR(ROWSDUMMYFUNCTION(IF(A3329="","",IFERROR(IMAGE(CONCATENATE("https://us.pandora.net/on/demandware.static/-/Sites-pandora-master-catalog/default/dwbb259ca6/productimages/singlepackshot/",LEFT(A3329,FIND("-",A3329&amp;"-")-1),"_RGB.png")),""))),"{""url"":""https://us.pandora.net/on/demandware.static/-/Sites-pandora-master-catalog/default/dwbb259ca6/productimages/singlepackshot/793819C01_RGB.png"",""mode"":1}")</f>
        <v>{"url":"https://us.pandora.net/on/demandware.static/-/Sites-pandora-master-catalog/default/dwbb259ca6/productimages/singlepackshot/793819C01_RGB.png","mode":1}</v>
      </c>
      <c r="D3329" s="5" t="str">
        <f ca="1">IFERROR(ROWSDUMMYFUNCTION(IF(A3329="","",CONCATENATE("https://us.pandora.net/on/demandware.static/-/Sites-pandora-master-catalog/default/dwbb259ca6/productimages/singlepackshot/",LEFT(A3329,FIND("-",A3329&amp;"-")-1),"_RGB.png"))),"https://us.pandora.net/on/demandware.static/-/Sites-pandora-master-catalog/default/dwbb259ca6/productimages/singlepackshot/793819C01_RGB.png")</f>
        <v>https://us.pandora.net/on/demandware.static/-/Sites-pandora-master-catalog/default/dwbb259ca6/productimages/singlepackshot/793819C01_RGB.png</v>
      </c>
    </row>
    <row r="3330" spans="1:4" x14ac:dyDescent="0.25">
      <c r="A3330" s="3" t="s">
        <v>3332</v>
      </c>
      <c r="B3330" s="4">
        <v>59</v>
      </c>
      <c r="C3330" s="3" t="str">
        <f ca="1">IFERROR(ROWSDUMMYFUNCTION(IF(A3330="","",IFERROR(IMAGE(CONCATENATE("https://us.pandora.net/on/demandware.static/-/Sites-pandora-master-catalog/default/dwbb259ca6/productimages/singlepackshot/",LEFT(A3330,FIND("-",A3330&amp;"-")-1),"_RGB.png")),""))),"{""url"":""https://us.pandora.net/on/demandware.static/-/Sites-pandora-master-catalog/default/dwbb259ca6/productimages/singlepackshot/793821C01_RGB.png"",""mode"":1}")</f>
        <v>{"url":"https://us.pandora.net/on/demandware.static/-/Sites-pandora-master-catalog/default/dwbb259ca6/productimages/singlepackshot/793821C01_RGB.png","mode":1}</v>
      </c>
      <c r="D3330" s="5" t="str">
        <f ca="1">IFERROR(ROWSDUMMYFUNCTION(IF(A3330="","",CONCATENATE("https://us.pandora.net/on/demandware.static/-/Sites-pandora-master-catalog/default/dwbb259ca6/productimages/singlepackshot/",LEFT(A3330,FIND("-",A3330&amp;"-")-1),"_RGB.png"))),"https://us.pandora.net/on/demandware.static/-/Sites-pandora-master-catalog/default/dwbb259ca6/productimages/singlepackshot/793821C01_RGB.png")</f>
        <v>https://us.pandora.net/on/demandware.static/-/Sites-pandora-master-catalog/default/dwbb259ca6/productimages/singlepackshot/793821C01_RGB.png</v>
      </c>
    </row>
    <row r="3331" spans="1:4" x14ac:dyDescent="0.25">
      <c r="A3331" s="3" t="s">
        <v>3333</v>
      </c>
      <c r="B3331" s="4">
        <v>59</v>
      </c>
      <c r="C3331" s="3" t="str">
        <f ca="1">IFERROR(ROWSDUMMYFUNCTION(IF(A3331="","",IFERROR(IMAGE(CONCATENATE("https://us.pandora.net/on/demandware.static/-/Sites-pandora-master-catalog/default/dwbb259ca6/productimages/singlepackshot/",LEFT(A3331,FIND("-",A3331&amp;"-")-1),"_RGB.png")),""))),"{""url"":""https://us.pandora.net/on/demandware.static/-/Sites-pandora-master-catalog/default/dwbb259ca6/productimages/singlepackshot/793822C01_RGB.png"",""mode"":1}")</f>
        <v>{"url":"https://us.pandora.net/on/demandware.static/-/Sites-pandora-master-catalog/default/dwbb259ca6/productimages/singlepackshot/793822C01_RGB.png","mode":1}</v>
      </c>
      <c r="D3331" s="5" t="str">
        <f ca="1">IFERROR(ROWSDUMMYFUNCTION(IF(A3331="","",CONCATENATE("https://us.pandora.net/on/demandware.static/-/Sites-pandora-master-catalog/default/dwbb259ca6/productimages/singlepackshot/",LEFT(A3331,FIND("-",A3331&amp;"-")-1),"_RGB.png"))),"https://us.pandora.net/on/demandware.static/-/Sites-pandora-master-catalog/default/dwbb259ca6/productimages/singlepackshot/793822C01_RGB.png")</f>
        <v>https://us.pandora.net/on/demandware.static/-/Sites-pandora-master-catalog/default/dwbb259ca6/productimages/singlepackshot/793822C01_RGB.png</v>
      </c>
    </row>
    <row r="3332" spans="1:4" x14ac:dyDescent="0.25">
      <c r="A3332" s="3" t="s">
        <v>3334</v>
      </c>
      <c r="B3332" s="4">
        <v>29</v>
      </c>
      <c r="C3332" s="3" t="str">
        <f ca="1">IFERROR(ROWSDUMMYFUNCTION(IF(A3332="","",IFERROR(IMAGE(CONCATENATE("https://us.pandora.net/on/demandware.static/-/Sites-pandora-master-catalog/default/dwbb259ca6/productimages/singlepackshot/",LEFT(A3332,FIND("-",A3332&amp;"-")-1),"_RGB.png")),""))),"{""url"":""https://us.pandora.net/on/demandware.static/-/Sites-pandora-master-catalog/default/dwbb259ca6/productimages/singlepackshot/793827C01_RGB.png"",""mode"":1}")</f>
        <v>{"url":"https://us.pandora.net/on/demandware.static/-/Sites-pandora-master-catalog/default/dwbb259ca6/productimages/singlepackshot/793827C01_RGB.png","mode":1}</v>
      </c>
      <c r="D3332" s="5" t="str">
        <f ca="1">IFERROR(ROWSDUMMYFUNCTION(IF(A3332="","",CONCATENATE("https://us.pandora.net/on/demandware.static/-/Sites-pandora-master-catalog/default/dwbb259ca6/productimages/singlepackshot/",LEFT(A3332,FIND("-",A3332&amp;"-")-1),"_RGB.png"))),"https://us.pandora.net/on/demandware.static/-/Sites-pandora-master-catalog/default/dwbb259ca6/productimages/singlepackshot/793827C01_RGB.png")</f>
        <v>https://us.pandora.net/on/demandware.static/-/Sites-pandora-master-catalog/default/dwbb259ca6/productimages/singlepackshot/793827C01_RGB.png</v>
      </c>
    </row>
    <row r="3333" spans="1:4" x14ac:dyDescent="0.25">
      <c r="A3333" s="3" t="s">
        <v>3335</v>
      </c>
      <c r="B3333" s="4">
        <v>79</v>
      </c>
      <c r="C3333" s="3" t="str">
        <f ca="1">IFERROR(ROWSDUMMYFUNCTION(IF(A3333="","",IFERROR(IMAGE(CONCATENATE("https://us.pandora.net/on/demandware.static/-/Sites-pandora-master-catalog/default/dwbb259ca6/productimages/singlepackshot/",LEFT(A3333,FIND("-",A3333&amp;"-")-1),"_RGB.png")),""))),"{""url"":""https://us.pandora.net/on/demandware.static/-/Sites-pandora-master-catalog/default/dwbb259ca6/productimages/singlepackshot/793840C01_RGB.png"",""mode"":1}")</f>
        <v>{"url":"https://us.pandora.net/on/demandware.static/-/Sites-pandora-master-catalog/default/dwbb259ca6/productimages/singlepackshot/793840C01_RGB.png","mode":1}</v>
      </c>
      <c r="D3333" s="5" t="str">
        <f ca="1">IFERROR(ROWSDUMMYFUNCTION(IF(A3333="","",CONCATENATE("https://us.pandora.net/on/demandware.static/-/Sites-pandora-master-catalog/default/dwbb259ca6/productimages/singlepackshot/",LEFT(A3333,FIND("-",A3333&amp;"-")-1),"_RGB.png"))),"https://us.pandora.net/on/demandware.static/-/Sites-pandora-master-catalog/default/dwbb259ca6/productimages/singlepackshot/793840C01_RGB.png")</f>
        <v>https://us.pandora.net/on/demandware.static/-/Sites-pandora-master-catalog/default/dwbb259ca6/productimages/singlepackshot/793840C01_RGB.png</v>
      </c>
    </row>
    <row r="3334" spans="1:4" x14ac:dyDescent="0.25">
      <c r="A3334" s="3" t="s">
        <v>3336</v>
      </c>
      <c r="B3334" s="4">
        <v>69</v>
      </c>
      <c r="C3334" s="3" t="str">
        <f ca="1">IFERROR(ROWSDUMMYFUNCTION(IF(A3334="","",IFERROR(IMAGE(CONCATENATE("https://us.pandora.net/on/demandware.static/-/Sites-pandora-master-catalog/default/dwbb259ca6/productimages/singlepackshot/",LEFT(A3334,FIND("-",A3334&amp;"-")-1),"_RGB.png")),""))),"{""url"":""https://us.pandora.net/on/demandware.static/-/Sites-pandora-master-catalog/default/dwbb259ca6/productimages/singlepackshot/793842C01_RGB.png"",""mode"":1}")</f>
        <v>{"url":"https://us.pandora.net/on/demandware.static/-/Sites-pandora-master-catalog/default/dwbb259ca6/productimages/singlepackshot/793842C01_RGB.png","mode":1}</v>
      </c>
      <c r="D3334" s="5" t="str">
        <f ca="1">IFERROR(ROWSDUMMYFUNCTION(IF(A3334="","",CONCATENATE("https://us.pandora.net/on/demandware.static/-/Sites-pandora-master-catalog/default/dwbb259ca6/productimages/singlepackshot/",LEFT(A3334,FIND("-",A3334&amp;"-")-1),"_RGB.png"))),"https://us.pandora.net/on/demandware.static/-/Sites-pandora-master-catalog/default/dwbb259ca6/productimages/singlepackshot/793842C01_RGB.png")</f>
        <v>https://us.pandora.net/on/demandware.static/-/Sites-pandora-master-catalog/default/dwbb259ca6/productimages/singlepackshot/793842C01_RGB.png</v>
      </c>
    </row>
    <row r="3335" spans="1:4" x14ac:dyDescent="0.25">
      <c r="A3335" s="3" t="s">
        <v>3337</v>
      </c>
      <c r="B3335" s="4">
        <v>25</v>
      </c>
      <c r="C3335" s="3" t="str">
        <f ca="1">IFERROR(ROWSDUMMYFUNCTION(IF(A3335="","",IFERROR(IMAGE(CONCATENATE("https://us.pandora.net/on/demandware.static/-/Sites-pandora-master-catalog/default/dwbb259ca6/productimages/singlepackshot/",LEFT(A3335,FIND("-",A3335&amp;"-")-1),"_RGB.png")),""))),"{""url"":""https://us.pandora.net/on/demandware.static/-/Sites-pandora-master-catalog/default/dwbb259ca6/productimages/singlepackshot/793855C01_RGB.png"",""mode"":1}")</f>
        <v>{"url":"https://us.pandora.net/on/demandware.static/-/Sites-pandora-master-catalog/default/dwbb259ca6/productimages/singlepackshot/793855C01_RGB.png","mode":1}</v>
      </c>
      <c r="D3335" s="5" t="str">
        <f ca="1">IFERROR(ROWSDUMMYFUNCTION(IF(A3335="","",CONCATENATE("https://us.pandora.net/on/demandware.static/-/Sites-pandora-master-catalog/default/dwbb259ca6/productimages/singlepackshot/",LEFT(A3335,FIND("-",A3335&amp;"-")-1),"_RGB.png"))),"https://us.pandora.net/on/demandware.static/-/Sites-pandora-master-catalog/default/dwbb259ca6/productimages/singlepackshot/793855C01_RGB.png")</f>
        <v>https://us.pandora.net/on/demandware.static/-/Sites-pandora-master-catalog/default/dwbb259ca6/productimages/singlepackshot/793855C01_RGB.png</v>
      </c>
    </row>
    <row r="3336" spans="1:4" x14ac:dyDescent="0.25">
      <c r="A3336" s="3" t="s">
        <v>3338</v>
      </c>
      <c r="B3336" s="4">
        <v>29</v>
      </c>
      <c r="C3336" s="3" t="str">
        <f ca="1">IFERROR(ROWSDUMMYFUNCTION(IF(A3336="","",IFERROR(IMAGE(CONCATENATE("https://us.pandora.net/on/demandware.static/-/Sites-pandora-master-catalog/default/dwbb259ca6/productimages/singlepackshot/",LEFT(A3336,FIND("-",A3336&amp;"-")-1),"_RGB.png")),""))),"{""url"":""https://us.pandora.net/on/demandware.static/-/Sites-pandora-master-catalog/default/dwbb259ca6/productimages/singlepackshot/793858C01_RGB.png"",""mode"":1}")</f>
        <v>{"url":"https://us.pandora.net/on/demandware.static/-/Sites-pandora-master-catalog/default/dwbb259ca6/productimages/singlepackshot/793858C01_RGB.png","mode":1}</v>
      </c>
      <c r="D3336" s="5" t="str">
        <f ca="1">IFERROR(ROWSDUMMYFUNCTION(IF(A3336="","",CONCATENATE("https://us.pandora.net/on/demandware.static/-/Sites-pandora-master-catalog/default/dwbb259ca6/productimages/singlepackshot/",LEFT(A3336,FIND("-",A3336&amp;"-")-1),"_RGB.png"))),"https://us.pandora.net/on/demandware.static/-/Sites-pandora-master-catalog/default/dwbb259ca6/productimages/singlepackshot/793858C01_RGB.png")</f>
        <v>https://us.pandora.net/on/demandware.static/-/Sites-pandora-master-catalog/default/dwbb259ca6/productimages/singlepackshot/793858C01_RGB.png</v>
      </c>
    </row>
    <row r="3337" spans="1:4" x14ac:dyDescent="0.25">
      <c r="A3337" s="3" t="s">
        <v>3339</v>
      </c>
      <c r="B3337" s="4">
        <v>29</v>
      </c>
      <c r="C3337" s="3" t="str">
        <f ca="1">IFERROR(ROWSDUMMYFUNCTION(IF(A3337="","",IFERROR(IMAGE(CONCATENATE("https://us.pandora.net/on/demandware.static/-/Sites-pandora-master-catalog/default/dwbb259ca6/productimages/singlepackshot/",LEFT(A3337,FIND("-",A3337&amp;"-")-1),"_RGB.png")),""))),"{""url"":""https://us.pandora.net/on/demandware.static/-/Sites-pandora-master-catalog/default/dwbb259ca6/productimages/singlepackshot/793860C01_RGB.png"",""mode"":1}")</f>
        <v>{"url":"https://us.pandora.net/on/demandware.static/-/Sites-pandora-master-catalog/default/dwbb259ca6/productimages/singlepackshot/793860C01_RGB.png","mode":1}</v>
      </c>
      <c r="D3337" s="5" t="str">
        <f ca="1">IFERROR(ROWSDUMMYFUNCTION(IF(A3337="","",CONCATENATE("https://us.pandora.net/on/demandware.static/-/Sites-pandora-master-catalog/default/dwbb259ca6/productimages/singlepackshot/",LEFT(A3337,FIND("-",A3337&amp;"-")-1),"_RGB.png"))),"https://us.pandora.net/on/demandware.static/-/Sites-pandora-master-catalog/default/dwbb259ca6/productimages/singlepackshot/793860C01_RGB.png")</f>
        <v>https://us.pandora.net/on/demandware.static/-/Sites-pandora-master-catalog/default/dwbb259ca6/productimages/singlepackshot/793860C01_RGB.png</v>
      </c>
    </row>
    <row r="3338" spans="1:4" x14ac:dyDescent="0.25">
      <c r="A3338" s="3" t="s">
        <v>3340</v>
      </c>
      <c r="B3338" s="4">
        <v>29</v>
      </c>
      <c r="C3338" s="3" t="str">
        <f ca="1">IFERROR(ROWSDUMMYFUNCTION(IF(A3338="","",IFERROR(IMAGE(CONCATENATE("https://us.pandora.net/on/demandware.static/-/Sites-pandora-master-catalog/default/dwbb259ca6/productimages/singlepackshot/",LEFT(A3338,FIND("-",A3338&amp;"-")-1),"_RGB.png")),""))),"{""url"":""https://us.pandora.net/on/demandware.static/-/Sites-pandora-master-catalog/default/dwbb259ca6/productimages/singlepackshot/793863C01_RGB.png"",""mode"":1}")</f>
        <v>{"url":"https://us.pandora.net/on/demandware.static/-/Sites-pandora-master-catalog/default/dwbb259ca6/productimages/singlepackshot/793863C01_RGB.png","mode":1}</v>
      </c>
      <c r="D3338" s="5" t="str">
        <f ca="1">IFERROR(ROWSDUMMYFUNCTION(IF(A3338="","",CONCATENATE("https://us.pandora.net/on/demandware.static/-/Sites-pandora-master-catalog/default/dwbb259ca6/productimages/singlepackshot/",LEFT(A3338,FIND("-",A3338&amp;"-")-1),"_RGB.png"))),"https://us.pandora.net/on/demandware.static/-/Sites-pandora-master-catalog/default/dwbb259ca6/productimages/singlepackshot/793863C01_RGB.png")</f>
        <v>https://us.pandora.net/on/demandware.static/-/Sites-pandora-master-catalog/default/dwbb259ca6/productimages/singlepackshot/793863C01_RGB.png</v>
      </c>
    </row>
    <row r="3339" spans="1:4" x14ac:dyDescent="0.25">
      <c r="A3339" s="3" t="s">
        <v>3341</v>
      </c>
      <c r="B3339" s="4">
        <v>59</v>
      </c>
      <c r="C3339" s="3" t="str">
        <f ca="1">IFERROR(ROWSDUMMYFUNCTION(IF(A3339="","",IFERROR(IMAGE(CONCATENATE("https://us.pandora.net/on/demandware.static/-/Sites-pandora-master-catalog/default/dwbb259ca6/productimages/singlepackshot/",LEFT(A3339,FIND("-",A3339&amp;"-")-1),"_RGB.png")),""))),"{""url"":""https://us.pandora.net/on/demandware.static/-/Sites-pandora-master-catalog/default/dwbb259ca6/productimages/singlepackshot/793894C01_RGB.png"",""mode"":1}")</f>
        <v>{"url":"https://us.pandora.net/on/demandware.static/-/Sites-pandora-master-catalog/default/dwbb259ca6/productimages/singlepackshot/793894C01_RGB.png","mode":1}</v>
      </c>
      <c r="D3339" s="5" t="str">
        <f ca="1">IFERROR(ROWSDUMMYFUNCTION(IF(A3339="","",CONCATENATE("https://us.pandora.net/on/demandware.static/-/Sites-pandora-master-catalog/default/dwbb259ca6/productimages/singlepackshot/",LEFT(A3339,FIND("-",A3339&amp;"-")-1),"_RGB.png"))),"https://us.pandora.net/on/demandware.static/-/Sites-pandora-master-catalog/default/dwbb259ca6/productimages/singlepackshot/793894C01_RGB.png")</f>
        <v>https://us.pandora.net/on/demandware.static/-/Sites-pandora-master-catalog/default/dwbb259ca6/productimages/singlepackshot/793894C01_RGB.png</v>
      </c>
    </row>
    <row r="3340" spans="1:4" x14ac:dyDescent="0.25">
      <c r="A3340" s="3" t="s">
        <v>3342</v>
      </c>
      <c r="B3340" s="4">
        <v>39</v>
      </c>
      <c r="C3340" s="3" t="str">
        <f ca="1">IFERROR(ROWSDUMMYFUNCTION(IF(A3340="","",IFERROR(IMAGE(CONCATENATE("https://us.pandora.net/on/demandware.static/-/Sites-pandora-master-catalog/default/dwbb259ca6/productimages/singlepackshot/",LEFT(A3340,FIND("-",A3340&amp;"-")-1),"_RGB.png")),""))),"{""url"":""https://us.pandora.net/on/demandware.static/-/Sites-pandora-master-catalog/default/dwbb259ca6/productimages/singlepackshot/793896C01_RGB.png"",""mode"":1}")</f>
        <v>{"url":"https://us.pandora.net/on/demandware.static/-/Sites-pandora-master-catalog/default/dwbb259ca6/productimages/singlepackshot/793896C01_RGB.png","mode":1}</v>
      </c>
      <c r="D3340" s="5" t="str">
        <f ca="1">IFERROR(ROWSDUMMYFUNCTION(IF(A3340="","",CONCATENATE("https://us.pandora.net/on/demandware.static/-/Sites-pandora-master-catalog/default/dwbb259ca6/productimages/singlepackshot/",LEFT(A3340,FIND("-",A3340&amp;"-")-1),"_RGB.png"))),"https://us.pandora.net/on/demandware.static/-/Sites-pandora-master-catalog/default/dwbb259ca6/productimages/singlepackshot/793896C01_RGB.png")</f>
        <v>https://us.pandora.net/on/demandware.static/-/Sites-pandora-master-catalog/default/dwbb259ca6/productimages/singlepackshot/793896C01_RGB.png</v>
      </c>
    </row>
    <row r="3341" spans="1:4" x14ac:dyDescent="0.25">
      <c r="A3341" s="3" t="s">
        <v>3343</v>
      </c>
      <c r="B3341" s="4">
        <v>39</v>
      </c>
      <c r="C3341" s="3" t="str">
        <f ca="1">IFERROR(ROWSDUMMYFUNCTION(IF(A3341="","",IFERROR(IMAGE(CONCATENATE("https://us.pandora.net/on/demandware.static/-/Sites-pandora-master-catalog/default/dwbb259ca6/productimages/singlepackshot/",LEFT(A3341,FIND("-",A3341&amp;"-")-1),"_RGB.png")),""))),"{""url"":""https://us.pandora.net/on/demandware.static/-/Sites-pandora-master-catalog/default/dwbb259ca6/productimages/singlepackshot/793897C01_RGB.png"",""mode"":1}")</f>
        <v>{"url":"https://us.pandora.net/on/demandware.static/-/Sites-pandora-master-catalog/default/dwbb259ca6/productimages/singlepackshot/793897C01_RGB.png","mode":1}</v>
      </c>
      <c r="D3341" s="5" t="str">
        <f ca="1">IFERROR(ROWSDUMMYFUNCTION(IF(A3341="","",CONCATENATE("https://us.pandora.net/on/demandware.static/-/Sites-pandora-master-catalog/default/dwbb259ca6/productimages/singlepackshot/",LEFT(A3341,FIND("-",A3341&amp;"-")-1),"_RGB.png"))),"https://us.pandora.net/on/demandware.static/-/Sites-pandora-master-catalog/default/dwbb259ca6/productimages/singlepackshot/793897C01_RGB.png")</f>
        <v>https://us.pandora.net/on/demandware.static/-/Sites-pandora-master-catalog/default/dwbb259ca6/productimages/singlepackshot/793897C01_RGB.png</v>
      </c>
    </row>
    <row r="3342" spans="1:4" x14ac:dyDescent="0.25">
      <c r="A3342" s="3" t="s">
        <v>3344</v>
      </c>
      <c r="B3342" s="4">
        <v>39</v>
      </c>
      <c r="C3342" s="3" t="str">
        <f ca="1">IFERROR(ROWSDUMMYFUNCTION(IF(A3342="","",IFERROR(IMAGE(CONCATENATE("https://us.pandora.net/on/demandware.static/-/Sites-pandora-master-catalog/default/dwbb259ca6/productimages/singlepackshot/",LEFT(A3342,FIND("-",A3342&amp;"-")-1),"_RGB.png")),""))),"{""url"":""https://us.pandora.net/on/demandware.static/-/Sites-pandora-master-catalog/default/dwbb259ca6/productimages/singlepackshot/793897C02_RGB.png"",""mode"":1}")</f>
        <v>{"url":"https://us.pandora.net/on/demandware.static/-/Sites-pandora-master-catalog/default/dwbb259ca6/productimages/singlepackshot/793897C02_RGB.png","mode":1}</v>
      </c>
      <c r="D3342" s="5" t="str">
        <f ca="1">IFERROR(ROWSDUMMYFUNCTION(IF(A3342="","",CONCATENATE("https://us.pandora.net/on/demandware.static/-/Sites-pandora-master-catalog/default/dwbb259ca6/productimages/singlepackshot/",LEFT(A3342,FIND("-",A3342&amp;"-")-1),"_RGB.png"))),"https://us.pandora.net/on/demandware.static/-/Sites-pandora-master-catalog/default/dwbb259ca6/productimages/singlepackshot/793897C02_RGB.png")</f>
        <v>https://us.pandora.net/on/demandware.static/-/Sites-pandora-master-catalog/default/dwbb259ca6/productimages/singlepackshot/793897C02_RGB.png</v>
      </c>
    </row>
    <row r="3343" spans="1:4" x14ac:dyDescent="0.25">
      <c r="A3343" s="3" t="s">
        <v>3345</v>
      </c>
      <c r="B3343" s="4">
        <v>59</v>
      </c>
      <c r="C3343" s="3" t="str">
        <f ca="1">IFERROR(ROWSDUMMYFUNCTION(IF(A3343="","",IFERROR(IMAGE(CONCATENATE("https://us.pandora.net/on/demandware.static/-/Sites-pandora-master-catalog/default/dwbb259ca6/productimages/singlepackshot/",LEFT(A3343,FIND("-",A3343&amp;"-")-1),"_RGB.png")),""))),"{""url"":""https://us.pandora.net/on/demandware.static/-/Sites-pandora-master-catalog/default/dwbb259ca6/productimages/singlepackshot/793900C01_RGB.png"",""mode"":1}")</f>
        <v>{"url":"https://us.pandora.net/on/demandware.static/-/Sites-pandora-master-catalog/default/dwbb259ca6/productimages/singlepackshot/793900C01_RGB.png","mode":1}</v>
      </c>
      <c r="D3343" s="5" t="str">
        <f ca="1">IFERROR(ROWSDUMMYFUNCTION(IF(A3343="","",CONCATENATE("https://us.pandora.net/on/demandware.static/-/Sites-pandora-master-catalog/default/dwbb259ca6/productimages/singlepackshot/",LEFT(A3343,FIND("-",A3343&amp;"-")-1),"_RGB.png"))),"https://us.pandora.net/on/demandware.static/-/Sites-pandora-master-catalog/default/dwbb259ca6/productimages/singlepackshot/793900C01_RGB.png")</f>
        <v>https://us.pandora.net/on/demandware.static/-/Sites-pandora-master-catalog/default/dwbb259ca6/productimages/singlepackshot/793900C01_RGB.png</v>
      </c>
    </row>
    <row r="3344" spans="1:4" x14ac:dyDescent="0.25">
      <c r="A3344" s="3" t="s">
        <v>3346</v>
      </c>
      <c r="B3344" s="4">
        <v>39</v>
      </c>
      <c r="C3344" s="3" t="str">
        <f ca="1">IFERROR(ROWSDUMMYFUNCTION(IF(A3344="","",IFERROR(IMAGE(CONCATENATE("https://us.pandora.net/on/demandware.static/-/Sites-pandora-master-catalog/default/dwbb259ca6/productimages/singlepackshot/",LEFT(A3344,FIND("-",A3344&amp;"-")-1),"_RGB.png")),""))),"{""url"":""https://us.pandora.net/on/demandware.static/-/Sites-pandora-master-catalog/default/dwbb259ca6/productimages/singlepackshot/793901C01_RGB.png"",""mode"":1}")</f>
        <v>{"url":"https://us.pandora.net/on/demandware.static/-/Sites-pandora-master-catalog/default/dwbb259ca6/productimages/singlepackshot/793901C01_RGB.png","mode":1}</v>
      </c>
      <c r="D3344" s="5" t="str">
        <f ca="1">IFERROR(ROWSDUMMYFUNCTION(IF(A3344="","",CONCATENATE("https://us.pandora.net/on/demandware.static/-/Sites-pandora-master-catalog/default/dwbb259ca6/productimages/singlepackshot/",LEFT(A3344,FIND("-",A3344&amp;"-")-1),"_RGB.png"))),"https://us.pandora.net/on/demandware.static/-/Sites-pandora-master-catalog/default/dwbb259ca6/productimages/singlepackshot/793901C01_RGB.png")</f>
        <v>https://us.pandora.net/on/demandware.static/-/Sites-pandora-master-catalog/default/dwbb259ca6/productimages/singlepackshot/793901C01_RGB.png</v>
      </c>
    </row>
    <row r="3345" spans="1:4" x14ac:dyDescent="0.25">
      <c r="A3345" s="3" t="s">
        <v>3347</v>
      </c>
      <c r="B3345" s="4">
        <v>25</v>
      </c>
      <c r="C3345" s="3" t="str">
        <f ca="1">IFERROR(ROWSDUMMYFUNCTION(IF(A3345="","",IFERROR(IMAGE(CONCATENATE("https://us.pandora.net/on/demandware.static/-/Sites-pandora-master-catalog/default/dwbb259ca6/productimages/singlepackshot/",LEFT(A3345,FIND("-",A3345&amp;"-")-1),"_RGB.png")),""))),"{""url"":""https://us.pandora.net/on/demandware.static/-/Sites-pandora-master-catalog/default/dwbb259ca6/productimages/singlepackshot/793905C01_RGB.png"",""mode"":1}")</f>
        <v>{"url":"https://us.pandora.net/on/demandware.static/-/Sites-pandora-master-catalog/default/dwbb259ca6/productimages/singlepackshot/793905C01_RGB.png","mode":1}</v>
      </c>
      <c r="D3345" s="5" t="str">
        <f ca="1">IFERROR(ROWSDUMMYFUNCTION(IF(A3345="","",CONCATENATE("https://us.pandora.net/on/demandware.static/-/Sites-pandora-master-catalog/default/dwbb259ca6/productimages/singlepackshot/",LEFT(A3345,FIND("-",A3345&amp;"-")-1),"_RGB.png"))),"https://us.pandora.net/on/demandware.static/-/Sites-pandora-master-catalog/default/dwbb259ca6/productimages/singlepackshot/793905C01_RGB.png")</f>
        <v>https://us.pandora.net/on/demandware.static/-/Sites-pandora-master-catalog/default/dwbb259ca6/productimages/singlepackshot/793905C01_RGB.png</v>
      </c>
    </row>
    <row r="3346" spans="1:4" x14ac:dyDescent="0.25">
      <c r="A3346" s="3" t="s">
        <v>3348</v>
      </c>
      <c r="B3346" s="4">
        <v>49</v>
      </c>
      <c r="C3346" s="3" t="str">
        <f ca="1">IFERROR(ROWSDUMMYFUNCTION(IF(A3346="","",IFERROR(IMAGE(CONCATENATE("https://us.pandora.net/on/demandware.static/-/Sites-pandora-master-catalog/default/dwbb259ca6/productimages/singlepackshot/",LEFT(A3346,FIND("-",A3346&amp;"-")-1),"_RGB.png")),""))),"{""url"":""https://us.pandora.net/on/demandware.static/-/Sites-pandora-master-catalog/default/dwbb259ca6/productimages/singlepackshot/793907C00_RGB.png"",""mode"":1}")</f>
        <v>{"url":"https://us.pandora.net/on/demandware.static/-/Sites-pandora-master-catalog/default/dwbb259ca6/productimages/singlepackshot/793907C00_RGB.png","mode":1}</v>
      </c>
      <c r="D3346" s="5" t="str">
        <f ca="1">IFERROR(ROWSDUMMYFUNCTION(IF(A3346="","",CONCATENATE("https://us.pandora.net/on/demandware.static/-/Sites-pandora-master-catalog/default/dwbb259ca6/productimages/singlepackshot/",LEFT(A3346,FIND("-",A3346&amp;"-")-1),"_RGB.png"))),"https://us.pandora.net/on/demandware.static/-/Sites-pandora-master-catalog/default/dwbb259ca6/productimages/singlepackshot/793907C00_RGB.png")</f>
        <v>https://us.pandora.net/on/demandware.static/-/Sites-pandora-master-catalog/default/dwbb259ca6/productimages/singlepackshot/793907C00_RGB.png</v>
      </c>
    </row>
    <row r="3347" spans="1:4" x14ac:dyDescent="0.25">
      <c r="A3347" s="3" t="s">
        <v>3349</v>
      </c>
      <c r="B3347" s="4">
        <v>49</v>
      </c>
      <c r="C3347" s="3" t="str">
        <f ca="1">IFERROR(ROWSDUMMYFUNCTION(IF(A3347="","",IFERROR(IMAGE(CONCATENATE("https://us.pandora.net/on/demandware.static/-/Sites-pandora-master-catalog/default/dwbb259ca6/productimages/singlepackshot/",LEFT(A3347,FIND("-",A3347&amp;"-")-1),"_RGB.png")),""))),"{""url"":""https://us.pandora.net/on/demandware.static/-/Sites-pandora-master-catalog/default/dwbb259ca6/productimages/singlepackshot/793908C00_RGB.png"",""mode"":1}")</f>
        <v>{"url":"https://us.pandora.net/on/demandware.static/-/Sites-pandora-master-catalog/default/dwbb259ca6/productimages/singlepackshot/793908C00_RGB.png","mode":1}</v>
      </c>
      <c r="D3347" s="5" t="str">
        <f ca="1">IFERROR(ROWSDUMMYFUNCTION(IF(A3347="","",CONCATENATE("https://us.pandora.net/on/demandware.static/-/Sites-pandora-master-catalog/default/dwbb259ca6/productimages/singlepackshot/",LEFT(A3347,FIND("-",A3347&amp;"-")-1),"_RGB.png"))),"https://us.pandora.net/on/demandware.static/-/Sites-pandora-master-catalog/default/dwbb259ca6/productimages/singlepackshot/793908C00_RGB.png")</f>
        <v>https://us.pandora.net/on/demandware.static/-/Sites-pandora-master-catalog/default/dwbb259ca6/productimages/singlepackshot/793908C00_RGB.png</v>
      </c>
    </row>
    <row r="3348" spans="1:4" x14ac:dyDescent="0.25">
      <c r="A3348" s="3" t="s">
        <v>3350</v>
      </c>
      <c r="B3348" s="4">
        <v>49</v>
      </c>
      <c r="C3348" s="3" t="str">
        <f ca="1">IFERROR(ROWSDUMMYFUNCTION(IF(A3348="","",IFERROR(IMAGE(CONCATENATE("https://us.pandora.net/on/demandware.static/-/Sites-pandora-master-catalog/default/dwbb259ca6/productimages/singlepackshot/",LEFT(A3348,FIND("-",A3348&amp;"-")-1),"_RGB.png")),""))),"{""url"":""https://us.pandora.net/on/demandware.static/-/Sites-pandora-master-catalog/default/dwbb259ca6/productimages/singlepackshot/793909C00_RGB.png"",""mode"":1}")</f>
        <v>{"url":"https://us.pandora.net/on/demandware.static/-/Sites-pandora-master-catalog/default/dwbb259ca6/productimages/singlepackshot/793909C00_RGB.png","mode":1}</v>
      </c>
      <c r="D3348" s="5" t="str">
        <f ca="1">IFERROR(ROWSDUMMYFUNCTION(IF(A3348="","",CONCATENATE("https://us.pandora.net/on/demandware.static/-/Sites-pandora-master-catalog/default/dwbb259ca6/productimages/singlepackshot/",LEFT(A3348,FIND("-",A3348&amp;"-")-1),"_RGB.png"))),"https://us.pandora.net/on/demandware.static/-/Sites-pandora-master-catalog/default/dwbb259ca6/productimages/singlepackshot/793909C00_RGB.png")</f>
        <v>https://us.pandora.net/on/demandware.static/-/Sites-pandora-master-catalog/default/dwbb259ca6/productimages/singlepackshot/793909C00_RGB.png</v>
      </c>
    </row>
    <row r="3349" spans="1:4" x14ac:dyDescent="0.25">
      <c r="A3349" s="3" t="s">
        <v>3351</v>
      </c>
      <c r="B3349" s="4">
        <v>49</v>
      </c>
      <c r="C3349" s="3" t="str">
        <f ca="1">IFERROR(ROWSDUMMYFUNCTION(IF(A3349="","",IFERROR(IMAGE(CONCATENATE("https://us.pandora.net/on/demandware.static/-/Sites-pandora-master-catalog/default/dwbb259ca6/productimages/singlepackshot/",LEFT(A3349,FIND("-",A3349&amp;"-")-1),"_RGB.png")),""))),"{""url"":""https://us.pandora.net/on/demandware.static/-/Sites-pandora-master-catalog/default/dwbb259ca6/productimages/singlepackshot/793910C00_RGB.png"",""mode"":1}")</f>
        <v>{"url":"https://us.pandora.net/on/demandware.static/-/Sites-pandora-master-catalog/default/dwbb259ca6/productimages/singlepackshot/793910C00_RGB.png","mode":1}</v>
      </c>
      <c r="D3349" s="5" t="str">
        <f ca="1">IFERROR(ROWSDUMMYFUNCTION(IF(A3349="","",CONCATENATE("https://us.pandora.net/on/demandware.static/-/Sites-pandora-master-catalog/default/dwbb259ca6/productimages/singlepackshot/",LEFT(A3349,FIND("-",A3349&amp;"-")-1),"_RGB.png"))),"https://us.pandora.net/on/demandware.static/-/Sites-pandora-master-catalog/default/dwbb259ca6/productimages/singlepackshot/793910C00_RGB.png")</f>
        <v>https://us.pandora.net/on/demandware.static/-/Sites-pandora-master-catalog/default/dwbb259ca6/productimages/singlepackshot/793910C00_RGB.png</v>
      </c>
    </row>
    <row r="3350" spans="1:4" x14ac:dyDescent="0.25">
      <c r="A3350" s="3" t="s">
        <v>3352</v>
      </c>
      <c r="B3350" s="4">
        <v>49</v>
      </c>
      <c r="C3350" s="3" t="str">
        <f ca="1">IFERROR(ROWSDUMMYFUNCTION(IF(A3350="","",IFERROR(IMAGE(CONCATENATE("https://us.pandora.net/on/demandware.static/-/Sites-pandora-master-catalog/default/dwbb259ca6/productimages/singlepackshot/",LEFT(A3350,FIND("-",A3350&amp;"-")-1),"_RGB.png")),""))),"{""url"":""https://us.pandora.net/on/demandware.static/-/Sites-pandora-master-catalog/default/dwbb259ca6/productimages/singlepackshot/793911C00_RGB.png"",""mode"":1}")</f>
        <v>{"url":"https://us.pandora.net/on/demandware.static/-/Sites-pandora-master-catalog/default/dwbb259ca6/productimages/singlepackshot/793911C00_RGB.png","mode":1}</v>
      </c>
      <c r="D3350" s="5" t="str">
        <f ca="1">IFERROR(ROWSDUMMYFUNCTION(IF(A3350="","",CONCATENATE("https://us.pandora.net/on/demandware.static/-/Sites-pandora-master-catalog/default/dwbb259ca6/productimages/singlepackshot/",LEFT(A3350,FIND("-",A3350&amp;"-")-1),"_RGB.png"))),"https://us.pandora.net/on/demandware.static/-/Sites-pandora-master-catalog/default/dwbb259ca6/productimages/singlepackshot/793911C00_RGB.png")</f>
        <v>https://us.pandora.net/on/demandware.static/-/Sites-pandora-master-catalog/default/dwbb259ca6/productimages/singlepackshot/793911C00_RGB.png</v>
      </c>
    </row>
    <row r="3351" spans="1:4" x14ac:dyDescent="0.25">
      <c r="A3351" s="3" t="s">
        <v>3353</v>
      </c>
      <c r="B3351" s="4">
        <v>49</v>
      </c>
      <c r="C3351" s="3" t="str">
        <f ca="1">IFERROR(ROWSDUMMYFUNCTION(IF(A3351="","",IFERROR(IMAGE(CONCATENATE("https://us.pandora.net/on/demandware.static/-/Sites-pandora-master-catalog/default/dwbb259ca6/productimages/singlepackshot/",LEFT(A3351,FIND("-",A3351&amp;"-")-1),"_RGB.png")),""))),"{""url"":""https://us.pandora.net/on/demandware.static/-/Sites-pandora-master-catalog/default/dwbb259ca6/productimages/singlepackshot/793912C00_RGB.png"",""mode"":1}")</f>
        <v>{"url":"https://us.pandora.net/on/demandware.static/-/Sites-pandora-master-catalog/default/dwbb259ca6/productimages/singlepackshot/793912C00_RGB.png","mode":1}</v>
      </c>
      <c r="D3351" s="5" t="str">
        <f ca="1">IFERROR(ROWSDUMMYFUNCTION(IF(A3351="","",CONCATENATE("https://us.pandora.net/on/demandware.static/-/Sites-pandora-master-catalog/default/dwbb259ca6/productimages/singlepackshot/",LEFT(A3351,FIND("-",A3351&amp;"-")-1),"_RGB.png"))),"https://us.pandora.net/on/demandware.static/-/Sites-pandora-master-catalog/default/dwbb259ca6/productimages/singlepackshot/793912C00_RGB.png")</f>
        <v>https://us.pandora.net/on/demandware.static/-/Sites-pandora-master-catalog/default/dwbb259ca6/productimages/singlepackshot/793912C00_RGB.png</v>
      </c>
    </row>
    <row r="3352" spans="1:4" x14ac:dyDescent="0.25">
      <c r="A3352" s="3" t="s">
        <v>3354</v>
      </c>
      <c r="B3352" s="4">
        <v>59</v>
      </c>
      <c r="C3352" s="3" t="str">
        <f ca="1">IFERROR(ROWSDUMMYFUNCTION(IF(A3352="","",IFERROR(IMAGE(CONCATENATE("https://us.pandora.net/on/demandware.static/-/Sites-pandora-master-catalog/default/dwbb259ca6/productimages/singlepackshot/",LEFT(A3352,FIND("-",A3352&amp;"-")-1),"_RGB.png")),""))),"{""url"":""https://us.pandora.net/on/demandware.static/-/Sites-pandora-master-catalog/default/dwbb259ca6/productimages/singlepackshot/793913C01_RGB.png"",""mode"":1}")</f>
        <v>{"url":"https://us.pandora.net/on/demandware.static/-/Sites-pandora-master-catalog/default/dwbb259ca6/productimages/singlepackshot/793913C01_RGB.png","mode":1}</v>
      </c>
      <c r="D3352" s="5" t="str">
        <f ca="1">IFERROR(ROWSDUMMYFUNCTION(IF(A3352="","",CONCATENATE("https://us.pandora.net/on/demandware.static/-/Sites-pandora-master-catalog/default/dwbb259ca6/productimages/singlepackshot/",LEFT(A3352,FIND("-",A3352&amp;"-")-1),"_RGB.png"))),"https://us.pandora.net/on/demandware.static/-/Sites-pandora-master-catalog/default/dwbb259ca6/productimages/singlepackshot/793913C01_RGB.png")</f>
        <v>https://us.pandora.net/on/demandware.static/-/Sites-pandora-master-catalog/default/dwbb259ca6/productimages/singlepackshot/793913C01_RGB.png</v>
      </c>
    </row>
    <row r="3353" spans="1:4" x14ac:dyDescent="0.25">
      <c r="A3353" s="3" t="s">
        <v>3355</v>
      </c>
      <c r="B3353" s="4">
        <v>49</v>
      </c>
      <c r="C3353" s="3" t="str">
        <f ca="1">IFERROR(ROWSDUMMYFUNCTION(IF(A3353="","",IFERROR(IMAGE(CONCATENATE("https://us.pandora.net/on/demandware.static/-/Sites-pandora-master-catalog/default/dwbb259ca6/productimages/singlepackshot/",LEFT(A3353,FIND("-",A3353&amp;"-")-1),"_RGB.png")),""))),"{""url"":""https://us.pandora.net/on/demandware.static/-/Sites-pandora-master-catalog/default/dwbb259ca6/productimages/singlepackshot/793921C01_RGB.png"",""mode"":1}")</f>
        <v>{"url":"https://us.pandora.net/on/demandware.static/-/Sites-pandora-master-catalog/default/dwbb259ca6/productimages/singlepackshot/793921C01_RGB.png","mode":1}</v>
      </c>
      <c r="D3353" s="5" t="str">
        <f ca="1">IFERROR(ROWSDUMMYFUNCTION(IF(A3353="","",CONCATENATE("https://us.pandora.net/on/demandware.static/-/Sites-pandora-master-catalog/default/dwbb259ca6/productimages/singlepackshot/",LEFT(A3353,FIND("-",A3353&amp;"-")-1),"_RGB.png"))),"https://us.pandora.net/on/demandware.static/-/Sites-pandora-master-catalog/default/dwbb259ca6/productimages/singlepackshot/793921C01_RGB.png")</f>
        <v>https://us.pandora.net/on/demandware.static/-/Sites-pandora-master-catalog/default/dwbb259ca6/productimages/singlepackshot/793921C01_RGB.png</v>
      </c>
    </row>
    <row r="3354" spans="1:4" x14ac:dyDescent="0.25">
      <c r="A3354" s="3" t="s">
        <v>3356</v>
      </c>
      <c r="B3354" s="4">
        <v>69</v>
      </c>
      <c r="C3354" s="3" t="str">
        <f ca="1">IFERROR(ROWSDUMMYFUNCTION(IF(A3354="","",IFERROR(IMAGE(CONCATENATE("https://us.pandora.net/on/demandware.static/-/Sites-pandora-master-catalog/default/dwbb259ca6/productimages/singlepackshot/",LEFT(A3354,FIND("-",A3354&amp;"-")-1),"_RGB.png")),""))),"{""url"":""https://us.pandora.net/on/demandware.static/-/Sites-pandora-master-catalog/default/dwbb259ca6/productimages/singlepackshot/793924C01_RGB.png"",""mode"":1}")</f>
        <v>{"url":"https://us.pandora.net/on/demandware.static/-/Sites-pandora-master-catalog/default/dwbb259ca6/productimages/singlepackshot/793924C01_RGB.png","mode":1}</v>
      </c>
      <c r="D3354" s="5" t="str">
        <f ca="1">IFERROR(ROWSDUMMYFUNCTION(IF(A3354="","",CONCATENATE("https://us.pandora.net/on/demandware.static/-/Sites-pandora-master-catalog/default/dwbb259ca6/productimages/singlepackshot/",LEFT(A3354,FIND("-",A3354&amp;"-")-1),"_RGB.png"))),"https://us.pandora.net/on/demandware.static/-/Sites-pandora-master-catalog/default/dwbb259ca6/productimages/singlepackshot/793924C01_RGB.png")</f>
        <v>https://us.pandora.net/on/demandware.static/-/Sites-pandora-master-catalog/default/dwbb259ca6/productimages/singlepackshot/793924C01_RGB.png</v>
      </c>
    </row>
    <row r="3355" spans="1:4" x14ac:dyDescent="0.25">
      <c r="A3355" s="3" t="s">
        <v>3357</v>
      </c>
      <c r="B3355" s="4">
        <v>29</v>
      </c>
      <c r="C3355" s="3" t="str">
        <f ca="1">IFERROR(ROWSDUMMYFUNCTION(IF(A3355="","",IFERROR(IMAGE(CONCATENATE("https://us.pandora.net/on/demandware.static/-/Sites-pandora-master-catalog/default/dwbb259ca6/productimages/singlepackshot/",LEFT(A3355,FIND("-",A3355&amp;"-")-1),"_RGB.png")),""))),"{""url"":""https://us.pandora.net/on/demandware.static/-/Sites-pandora-master-catalog/default/dwbb259ca6/productimages/singlepackshot/793926C02_RGB.png"",""mode"":1}")</f>
        <v>{"url":"https://us.pandora.net/on/demandware.static/-/Sites-pandora-master-catalog/default/dwbb259ca6/productimages/singlepackshot/793926C02_RGB.png","mode":1}</v>
      </c>
      <c r="D3355" s="5" t="str">
        <f ca="1">IFERROR(ROWSDUMMYFUNCTION(IF(A3355="","",CONCATENATE("https://us.pandora.net/on/demandware.static/-/Sites-pandora-master-catalog/default/dwbb259ca6/productimages/singlepackshot/",LEFT(A3355,FIND("-",A3355&amp;"-")-1),"_RGB.png"))),"https://us.pandora.net/on/demandware.static/-/Sites-pandora-master-catalog/default/dwbb259ca6/productimages/singlepackshot/793926C02_RGB.png")</f>
        <v>https://us.pandora.net/on/demandware.static/-/Sites-pandora-master-catalog/default/dwbb259ca6/productimages/singlepackshot/793926C02_RGB.png</v>
      </c>
    </row>
    <row r="3356" spans="1:4" x14ac:dyDescent="0.25">
      <c r="A3356" s="3" t="s">
        <v>3358</v>
      </c>
      <c r="B3356" s="4">
        <v>29</v>
      </c>
      <c r="C3356" s="3" t="str">
        <f ca="1">IFERROR(ROWSDUMMYFUNCTION(IF(A3356="","",IFERROR(IMAGE(CONCATENATE("https://us.pandora.net/on/demandware.static/-/Sites-pandora-master-catalog/default/dwbb259ca6/productimages/singlepackshot/",LEFT(A3356,FIND("-",A3356&amp;"-")-1),"_RGB.png")),""))),"{""url"":""https://us.pandora.net/on/demandware.static/-/Sites-pandora-master-catalog/default/dwbb259ca6/productimages/singlepackshot/793926C03_RGB.png"",""mode"":1}")</f>
        <v>{"url":"https://us.pandora.net/on/demandware.static/-/Sites-pandora-master-catalog/default/dwbb259ca6/productimages/singlepackshot/793926C03_RGB.png","mode":1}</v>
      </c>
      <c r="D3356" s="5" t="str">
        <f ca="1">IFERROR(ROWSDUMMYFUNCTION(IF(A3356="","",CONCATENATE("https://us.pandora.net/on/demandware.static/-/Sites-pandora-master-catalog/default/dwbb259ca6/productimages/singlepackshot/",LEFT(A3356,FIND("-",A3356&amp;"-")-1),"_RGB.png"))),"https://us.pandora.net/on/demandware.static/-/Sites-pandora-master-catalog/default/dwbb259ca6/productimages/singlepackshot/793926C03_RGB.png")</f>
        <v>https://us.pandora.net/on/demandware.static/-/Sites-pandora-master-catalog/default/dwbb259ca6/productimages/singlepackshot/793926C03_RGB.png</v>
      </c>
    </row>
    <row r="3357" spans="1:4" x14ac:dyDescent="0.25">
      <c r="A3357" s="3" t="s">
        <v>3359</v>
      </c>
      <c r="B3357" s="4">
        <v>29</v>
      </c>
      <c r="C3357" s="3" t="str">
        <f ca="1">IFERROR(ROWSDUMMYFUNCTION(IF(A3357="","",IFERROR(IMAGE(CONCATENATE("https://us.pandora.net/on/demandware.static/-/Sites-pandora-master-catalog/default/dwbb259ca6/productimages/singlepackshot/",LEFT(A3357,FIND("-",A3357&amp;"-")-1),"_RGB.png")),""))),"{""url"":""https://us.pandora.net/on/demandware.static/-/Sites-pandora-master-catalog/default/dwbb259ca6/productimages/singlepackshot/793975C01_RGB.png"",""mode"":1}")</f>
        <v>{"url":"https://us.pandora.net/on/demandware.static/-/Sites-pandora-master-catalog/default/dwbb259ca6/productimages/singlepackshot/793975C01_RGB.png","mode":1}</v>
      </c>
      <c r="D3357" s="5" t="str">
        <f ca="1">IFERROR(ROWSDUMMYFUNCTION(IF(A3357="","",CONCATENATE("https://us.pandora.net/on/demandware.static/-/Sites-pandora-master-catalog/default/dwbb259ca6/productimages/singlepackshot/",LEFT(A3357,FIND("-",A3357&amp;"-")-1),"_RGB.png"))),"https://us.pandora.net/on/demandware.static/-/Sites-pandora-master-catalog/default/dwbb259ca6/productimages/singlepackshot/793975C01_RGB.png")</f>
        <v>https://us.pandora.net/on/demandware.static/-/Sites-pandora-master-catalog/default/dwbb259ca6/productimages/singlepackshot/793975C01_RGB.png</v>
      </c>
    </row>
    <row r="3358" spans="1:4" x14ac:dyDescent="0.25">
      <c r="A3358" s="3" t="s">
        <v>3360</v>
      </c>
      <c r="B3358" s="4">
        <v>29</v>
      </c>
      <c r="C3358" s="3" t="str">
        <f ca="1">IFERROR(ROWSDUMMYFUNCTION(IF(A3358="","",IFERROR(IMAGE(CONCATENATE("https://us.pandora.net/on/demandware.static/-/Sites-pandora-master-catalog/default/dwbb259ca6/productimages/singlepackshot/",LEFT(A3358,FIND("-",A3358&amp;"-")-1),"_RGB.png")),""))),"{""url"":""https://us.pandora.net/on/demandware.static/-/Sites-pandora-master-catalog/default/dwbb259ca6/productimages/singlepackshot/793976C01_RGB.png"",""mode"":1}")</f>
        <v>{"url":"https://us.pandora.net/on/demandware.static/-/Sites-pandora-master-catalog/default/dwbb259ca6/productimages/singlepackshot/793976C01_RGB.png","mode":1}</v>
      </c>
      <c r="D3358" s="5" t="str">
        <f ca="1">IFERROR(ROWSDUMMYFUNCTION(IF(A3358="","",CONCATENATE("https://us.pandora.net/on/demandware.static/-/Sites-pandora-master-catalog/default/dwbb259ca6/productimages/singlepackshot/",LEFT(A3358,FIND("-",A3358&amp;"-")-1),"_RGB.png"))),"https://us.pandora.net/on/demandware.static/-/Sites-pandora-master-catalog/default/dwbb259ca6/productimages/singlepackshot/793976C01_RGB.png")</f>
        <v>https://us.pandora.net/on/demandware.static/-/Sites-pandora-master-catalog/default/dwbb259ca6/productimages/singlepackshot/793976C01_RGB.png</v>
      </c>
    </row>
    <row r="3359" spans="1:4" x14ac:dyDescent="0.25">
      <c r="A3359" s="3" t="s">
        <v>3361</v>
      </c>
      <c r="B3359" s="4">
        <v>69</v>
      </c>
      <c r="C3359" s="3" t="str">
        <f ca="1">IFERROR(ROWSDUMMYFUNCTION(IF(A3359="","",IFERROR(IMAGE(CONCATENATE("https://us.pandora.net/on/demandware.static/-/Sites-pandora-master-catalog/default/dwbb259ca6/productimages/singlepackshot/",LEFT(A3359,FIND("-",A3359&amp;"-")-1),"_RGB.png")),""))),"{""url"":""https://us.pandora.net/on/demandware.static/-/Sites-pandora-master-catalog/default/dwbb259ca6/productimages/singlepackshot/793978C01_RGB.png"",""mode"":1}")</f>
        <v>{"url":"https://us.pandora.net/on/demandware.static/-/Sites-pandora-master-catalog/default/dwbb259ca6/productimages/singlepackshot/793978C01_RGB.png","mode":1}</v>
      </c>
      <c r="D3359" s="5" t="str">
        <f ca="1">IFERROR(ROWSDUMMYFUNCTION(IF(A3359="","",CONCATENATE("https://us.pandora.net/on/demandware.static/-/Sites-pandora-master-catalog/default/dwbb259ca6/productimages/singlepackshot/",LEFT(A3359,FIND("-",A3359&amp;"-")-1),"_RGB.png"))),"https://us.pandora.net/on/demandware.static/-/Sites-pandora-master-catalog/default/dwbb259ca6/productimages/singlepackshot/793978C01_RGB.png")</f>
        <v>https://us.pandora.net/on/demandware.static/-/Sites-pandora-master-catalog/default/dwbb259ca6/productimages/singlepackshot/793978C01_RGB.png</v>
      </c>
    </row>
    <row r="3360" spans="1:4" x14ac:dyDescent="0.25">
      <c r="A3360" s="3" t="s">
        <v>3362</v>
      </c>
      <c r="B3360" s="4">
        <v>79</v>
      </c>
      <c r="C3360" s="3" t="str">
        <f ca="1">IFERROR(ROWSDUMMYFUNCTION(IF(A3360="","",IFERROR(IMAGE(CONCATENATE("https://us.pandora.net/on/demandware.static/-/Sites-pandora-master-catalog/default/dwbb259ca6/productimages/singlepackshot/",LEFT(A3360,FIND("-",A3360&amp;"-")-1),"_RGB.png")),""))),"{""url"":""https://us.pandora.net/on/demandware.static/-/Sites-pandora-master-catalog/default/dwbb259ca6/productimages/singlepackshot/793979C01_RGB.png"",""mode"":1}")</f>
        <v>{"url":"https://us.pandora.net/on/demandware.static/-/Sites-pandora-master-catalog/default/dwbb259ca6/productimages/singlepackshot/793979C01_RGB.png","mode":1}</v>
      </c>
      <c r="D3360" s="5" t="str">
        <f ca="1">IFERROR(ROWSDUMMYFUNCTION(IF(A3360="","",CONCATENATE("https://us.pandora.net/on/demandware.static/-/Sites-pandora-master-catalog/default/dwbb259ca6/productimages/singlepackshot/",LEFT(A3360,FIND("-",A3360&amp;"-")-1),"_RGB.png"))),"https://us.pandora.net/on/demandware.static/-/Sites-pandora-master-catalog/default/dwbb259ca6/productimages/singlepackshot/793979C01_RGB.png")</f>
        <v>https://us.pandora.net/on/demandware.static/-/Sites-pandora-master-catalog/default/dwbb259ca6/productimages/singlepackshot/793979C01_RGB.png</v>
      </c>
    </row>
    <row r="3361" spans="1:4" x14ac:dyDescent="0.25">
      <c r="A3361" s="3" t="s">
        <v>3363</v>
      </c>
      <c r="B3361" s="4">
        <v>69</v>
      </c>
      <c r="C3361" s="3" t="str">
        <f ca="1">IFERROR(ROWSDUMMYFUNCTION(IF(A3361="","",IFERROR(IMAGE(CONCATENATE("https://us.pandora.net/on/demandware.static/-/Sites-pandora-master-catalog/default/dwbb259ca6/productimages/singlepackshot/",LEFT(A3361,FIND("-",A3361&amp;"-")-1),"_RGB.png")),""))),"{""url"":""https://us.pandora.net/on/demandware.static/-/Sites-pandora-master-catalog/default/dwbb259ca6/productimages/singlepackshot/793983C01_RGB.png"",""mode"":1}")</f>
        <v>{"url":"https://us.pandora.net/on/demandware.static/-/Sites-pandora-master-catalog/default/dwbb259ca6/productimages/singlepackshot/793983C01_RGB.png","mode":1}</v>
      </c>
      <c r="D3361" s="5" t="str">
        <f ca="1">IFERROR(ROWSDUMMYFUNCTION(IF(A3361="","",CONCATENATE("https://us.pandora.net/on/demandware.static/-/Sites-pandora-master-catalog/default/dwbb259ca6/productimages/singlepackshot/",LEFT(A3361,FIND("-",A3361&amp;"-")-1),"_RGB.png"))),"https://us.pandora.net/on/demandware.static/-/Sites-pandora-master-catalog/default/dwbb259ca6/productimages/singlepackshot/793983C01_RGB.png")</f>
        <v>https://us.pandora.net/on/demandware.static/-/Sites-pandora-master-catalog/default/dwbb259ca6/productimages/singlepackshot/793983C01_RGB.png</v>
      </c>
    </row>
    <row r="3362" spans="1:4" x14ac:dyDescent="0.25">
      <c r="A3362" s="3" t="s">
        <v>3364</v>
      </c>
      <c r="B3362" s="4">
        <v>69</v>
      </c>
      <c r="C3362" s="3" t="str">
        <f ca="1">IFERROR(ROWSDUMMYFUNCTION(IF(A3362="","",IFERROR(IMAGE(CONCATENATE("https://us.pandora.net/on/demandware.static/-/Sites-pandora-master-catalog/default/dwbb259ca6/productimages/singlepackshot/",LEFT(A3362,FIND("-",A3362&amp;"-")-1),"_RGB.png")),""))),"{""url"":""https://us.pandora.net/on/demandware.static/-/Sites-pandora-master-catalog/default/dwbb259ca6/productimages/singlepackshot/793993C00_RGB.png"",""mode"":1}")</f>
        <v>{"url":"https://us.pandora.net/on/demandware.static/-/Sites-pandora-master-catalog/default/dwbb259ca6/productimages/singlepackshot/793993C00_RGB.png","mode":1}</v>
      </c>
      <c r="D3362" s="5" t="str">
        <f ca="1">IFERROR(ROWSDUMMYFUNCTION(IF(A3362="","",CONCATENATE("https://us.pandora.net/on/demandware.static/-/Sites-pandora-master-catalog/default/dwbb259ca6/productimages/singlepackshot/",LEFT(A3362,FIND("-",A3362&amp;"-")-1),"_RGB.png"))),"https://us.pandora.net/on/demandware.static/-/Sites-pandora-master-catalog/default/dwbb259ca6/productimages/singlepackshot/793993C00_RGB.png")</f>
        <v>https://us.pandora.net/on/demandware.static/-/Sites-pandora-master-catalog/default/dwbb259ca6/productimages/singlepackshot/793993C00_RGB.png</v>
      </c>
    </row>
    <row r="3363" spans="1:4" x14ac:dyDescent="0.25">
      <c r="A3363" s="3" t="s">
        <v>3365</v>
      </c>
      <c r="B3363" s="4">
        <v>69</v>
      </c>
      <c r="C3363" s="3" t="str">
        <f ca="1">IFERROR(ROWSDUMMYFUNCTION(IF(A3363="","",IFERROR(IMAGE(CONCATENATE("https://us.pandora.net/on/demandware.static/-/Sites-pandora-master-catalog/default/dwbb259ca6/productimages/singlepackshot/",LEFT(A3363,FIND("-",A3363&amp;"-")-1),"_RGB.png")),""))),"{""url"":""https://us.pandora.net/on/demandware.static/-/Sites-pandora-master-catalog/default/dwbb259ca6/productimages/singlepackshot/793994C00_RGB.png"",""mode"":1}")</f>
        <v>{"url":"https://us.pandora.net/on/demandware.static/-/Sites-pandora-master-catalog/default/dwbb259ca6/productimages/singlepackshot/793994C00_RGB.png","mode":1}</v>
      </c>
      <c r="D3363" s="5" t="str">
        <f ca="1">IFERROR(ROWSDUMMYFUNCTION(IF(A3363="","",CONCATENATE("https://us.pandora.net/on/demandware.static/-/Sites-pandora-master-catalog/default/dwbb259ca6/productimages/singlepackshot/",LEFT(A3363,FIND("-",A3363&amp;"-")-1),"_RGB.png"))),"https://us.pandora.net/on/demandware.static/-/Sites-pandora-master-catalog/default/dwbb259ca6/productimages/singlepackshot/793994C00_RGB.png")</f>
        <v>https://us.pandora.net/on/demandware.static/-/Sites-pandora-master-catalog/default/dwbb259ca6/productimages/singlepackshot/793994C00_RGB.png</v>
      </c>
    </row>
    <row r="3364" spans="1:4" x14ac:dyDescent="0.25">
      <c r="A3364" s="3" t="s">
        <v>3366</v>
      </c>
      <c r="B3364" s="4">
        <v>25</v>
      </c>
      <c r="C3364" s="3" t="str">
        <f ca="1">IFERROR(ROWSDUMMYFUNCTION(IF(A3364="","",IFERROR(IMAGE(CONCATENATE("https://us.pandora.net/on/demandware.static/-/Sites-pandora-master-catalog/default/dwbb259ca6/productimages/singlepackshot/",LEFT(A3364,FIND("-",A3364&amp;"-")-1),"_RGB.png")),""))),"{""url"":""https://us.pandora.net/on/demandware.static/-/Sites-pandora-master-catalog/default/dwbb259ca6/productimages/singlepackshot/793998C00_RGB.png"",""mode"":1}")</f>
        <v>{"url":"https://us.pandora.net/on/demandware.static/-/Sites-pandora-master-catalog/default/dwbb259ca6/productimages/singlepackshot/793998C00_RGB.png","mode":1}</v>
      </c>
      <c r="D3364" s="5" t="str">
        <f ca="1">IFERROR(ROWSDUMMYFUNCTION(IF(A3364="","",CONCATENATE("https://us.pandora.net/on/demandware.static/-/Sites-pandora-master-catalog/default/dwbb259ca6/productimages/singlepackshot/",LEFT(A3364,FIND("-",A3364&amp;"-")-1),"_RGB.png"))),"https://us.pandora.net/on/demandware.static/-/Sites-pandora-master-catalog/default/dwbb259ca6/productimages/singlepackshot/793998C00_RGB.png")</f>
        <v>https://us.pandora.net/on/demandware.static/-/Sites-pandora-master-catalog/default/dwbb259ca6/productimages/singlepackshot/793998C00_RGB.png</v>
      </c>
    </row>
    <row r="3365" spans="1:4" x14ac:dyDescent="0.25">
      <c r="A3365" s="3" t="s">
        <v>3367</v>
      </c>
      <c r="B3365" s="4">
        <v>69</v>
      </c>
      <c r="C3365" s="3" t="str">
        <f ca="1">IFERROR(ROWSDUMMYFUNCTION(IF(A3365="","",IFERROR(IMAGE(CONCATENATE("https://us.pandora.net/on/demandware.static/-/Sites-pandora-master-catalog/default/dwbb259ca6/productimages/singlepackshot/",LEFT(A3365,FIND("-",A3365&amp;"-")-1),"_RGB.png")),""))),"{""url"":""https://us.pandora.net/on/demandware.static/-/Sites-pandora-master-catalog/default/dwbb259ca6/productimages/singlepackshot/794021C01_RGB.png"",""mode"":1}")</f>
        <v>{"url":"https://us.pandora.net/on/demandware.static/-/Sites-pandora-master-catalog/default/dwbb259ca6/productimages/singlepackshot/794021C01_RGB.png","mode":1}</v>
      </c>
      <c r="D3365" s="5" t="str">
        <f ca="1">IFERROR(ROWSDUMMYFUNCTION(IF(A3365="","",CONCATENATE("https://us.pandora.net/on/demandware.static/-/Sites-pandora-master-catalog/default/dwbb259ca6/productimages/singlepackshot/",LEFT(A3365,FIND("-",A3365&amp;"-")-1),"_RGB.png"))),"https://us.pandora.net/on/demandware.static/-/Sites-pandora-master-catalog/default/dwbb259ca6/productimages/singlepackshot/794021C01_RGB.png")</f>
        <v>https://us.pandora.net/on/demandware.static/-/Sites-pandora-master-catalog/default/dwbb259ca6/productimages/singlepackshot/794021C01_RGB.png</v>
      </c>
    </row>
    <row r="3366" spans="1:4" x14ac:dyDescent="0.25">
      <c r="A3366" s="3" t="s">
        <v>3368</v>
      </c>
      <c r="B3366" s="4">
        <v>59</v>
      </c>
      <c r="C3366" s="3" t="str">
        <f ca="1">IFERROR(ROWSDUMMYFUNCTION(IF(A3366="","",IFERROR(IMAGE(CONCATENATE("https://us.pandora.net/on/demandware.static/-/Sites-pandora-master-catalog/default/dwbb259ca6/productimages/singlepackshot/",LEFT(A3366,FIND("-",A3366&amp;"-")-1),"_RGB.png")),""))),"{""url"":""https://us.pandora.net/on/demandware.static/-/Sites-pandora-master-catalog/default/dwbb259ca6/productimages/singlepackshot/794022C01_RGB.png"",""mode"":1}")</f>
        <v>{"url":"https://us.pandora.net/on/demandware.static/-/Sites-pandora-master-catalog/default/dwbb259ca6/productimages/singlepackshot/794022C01_RGB.png","mode":1}</v>
      </c>
      <c r="D3366" s="5" t="str">
        <f ca="1">IFERROR(ROWSDUMMYFUNCTION(IF(A3366="","",CONCATENATE("https://us.pandora.net/on/demandware.static/-/Sites-pandora-master-catalog/default/dwbb259ca6/productimages/singlepackshot/",LEFT(A3366,FIND("-",A3366&amp;"-")-1),"_RGB.png"))),"https://us.pandora.net/on/demandware.static/-/Sites-pandora-master-catalog/default/dwbb259ca6/productimages/singlepackshot/794022C01_RGB.png")</f>
        <v>https://us.pandora.net/on/demandware.static/-/Sites-pandora-master-catalog/default/dwbb259ca6/productimages/singlepackshot/794022C01_RGB.png</v>
      </c>
    </row>
    <row r="3367" spans="1:4" x14ac:dyDescent="0.25">
      <c r="A3367" s="3" t="s">
        <v>3369</v>
      </c>
      <c r="B3367" s="4">
        <v>69</v>
      </c>
      <c r="C3367" s="3" t="str">
        <f ca="1">IFERROR(ROWSDUMMYFUNCTION(IF(A3367="","",IFERROR(IMAGE(CONCATENATE("https://us.pandora.net/on/demandware.static/-/Sites-pandora-master-catalog/default/dwbb259ca6/productimages/singlepackshot/",LEFT(A3367,FIND("-",A3367&amp;"-")-1),"_RGB.png")),""))),"{""url"":""https://us.pandora.net/on/demandware.static/-/Sites-pandora-master-catalog/default/dwbb259ca6/productimages/singlepackshot/794024C01_RGB.png"",""mode"":1}")</f>
        <v>{"url":"https://us.pandora.net/on/demandware.static/-/Sites-pandora-master-catalog/default/dwbb259ca6/productimages/singlepackshot/794024C01_RGB.png","mode":1}</v>
      </c>
      <c r="D3367" s="5" t="str">
        <f ca="1">IFERROR(ROWSDUMMYFUNCTION(IF(A3367="","",CONCATENATE("https://us.pandora.net/on/demandware.static/-/Sites-pandora-master-catalog/default/dwbb259ca6/productimages/singlepackshot/",LEFT(A3367,FIND("-",A3367&amp;"-")-1),"_RGB.png"))),"https://us.pandora.net/on/demandware.static/-/Sites-pandora-master-catalog/default/dwbb259ca6/productimages/singlepackshot/794024C01_RGB.png")</f>
        <v>https://us.pandora.net/on/demandware.static/-/Sites-pandora-master-catalog/default/dwbb259ca6/productimages/singlepackshot/794024C01_RGB.png</v>
      </c>
    </row>
    <row r="3368" spans="1:4" x14ac:dyDescent="0.25">
      <c r="A3368" s="3" t="s">
        <v>3370</v>
      </c>
      <c r="B3368" s="4">
        <v>69</v>
      </c>
      <c r="C3368" s="3" t="str">
        <f ca="1">IFERROR(ROWSDUMMYFUNCTION(IF(A3368="","",IFERROR(IMAGE(CONCATENATE("https://us.pandora.net/on/demandware.static/-/Sites-pandora-master-catalog/default/dwbb259ca6/productimages/singlepackshot/",LEFT(A3368,FIND("-",A3368&amp;"-")-1),"_RGB.png")),""))),"{""url"":""https://us.pandora.net/on/demandware.static/-/Sites-pandora-master-catalog/default/dwbb259ca6/productimages/singlepackshot/794025C01_RGB.png"",""mode"":1}")</f>
        <v>{"url":"https://us.pandora.net/on/demandware.static/-/Sites-pandora-master-catalog/default/dwbb259ca6/productimages/singlepackshot/794025C01_RGB.png","mode":1}</v>
      </c>
      <c r="D3368" s="5" t="str">
        <f ca="1">IFERROR(ROWSDUMMYFUNCTION(IF(A3368="","",CONCATENATE("https://us.pandora.net/on/demandware.static/-/Sites-pandora-master-catalog/default/dwbb259ca6/productimages/singlepackshot/",LEFT(A3368,FIND("-",A3368&amp;"-")-1),"_RGB.png"))),"https://us.pandora.net/on/demandware.static/-/Sites-pandora-master-catalog/default/dwbb259ca6/productimages/singlepackshot/794025C01_RGB.png")</f>
        <v>https://us.pandora.net/on/demandware.static/-/Sites-pandora-master-catalog/default/dwbb259ca6/productimages/singlepackshot/794025C01_RGB.png</v>
      </c>
    </row>
    <row r="3369" spans="1:4" x14ac:dyDescent="0.25">
      <c r="A3369" s="3" t="s">
        <v>3371</v>
      </c>
      <c r="B3369" s="4">
        <v>69</v>
      </c>
      <c r="C3369" s="3" t="str">
        <f ca="1">IFERROR(ROWSDUMMYFUNCTION(IF(A3369="","",IFERROR(IMAGE(CONCATENATE("https://us.pandora.net/on/demandware.static/-/Sites-pandora-master-catalog/default/dwbb259ca6/productimages/singlepackshot/",LEFT(A3369,FIND("-",A3369&amp;"-")-1),"_RGB.png")),""))),"{""url"":""https://us.pandora.net/on/demandware.static/-/Sites-pandora-master-catalog/default/dwbb259ca6/productimages/singlepackshot/794026C01_RGB.png"",""mode"":1}")</f>
        <v>{"url":"https://us.pandora.net/on/demandware.static/-/Sites-pandora-master-catalog/default/dwbb259ca6/productimages/singlepackshot/794026C01_RGB.png","mode":1}</v>
      </c>
      <c r="D3369" s="5" t="str">
        <f ca="1">IFERROR(ROWSDUMMYFUNCTION(IF(A3369="","",CONCATENATE("https://us.pandora.net/on/demandware.static/-/Sites-pandora-master-catalog/default/dwbb259ca6/productimages/singlepackshot/",LEFT(A3369,FIND("-",A3369&amp;"-")-1),"_RGB.png"))),"https://us.pandora.net/on/demandware.static/-/Sites-pandora-master-catalog/default/dwbb259ca6/productimages/singlepackshot/794026C01_RGB.png")</f>
        <v>https://us.pandora.net/on/demandware.static/-/Sites-pandora-master-catalog/default/dwbb259ca6/productimages/singlepackshot/794026C01_RGB.png</v>
      </c>
    </row>
    <row r="3370" spans="1:4" x14ac:dyDescent="0.25">
      <c r="A3370" s="3" t="s">
        <v>3372</v>
      </c>
      <c r="B3370" s="4">
        <v>39</v>
      </c>
      <c r="C3370" s="3" t="str">
        <f ca="1">IFERROR(ROWSDUMMYFUNCTION(IF(A3370="","",IFERROR(IMAGE(CONCATENATE("https://us.pandora.net/on/demandware.static/-/Sites-pandora-master-catalog/default/dwbb259ca6/productimages/singlepackshot/",LEFT(A3370,FIND("-",A3370&amp;"-")-1),"_RGB.png")),""))),"{""url"":""https://us.pandora.net/on/demandware.static/-/Sites-pandora-master-catalog/default/dwbb259ca6/productimages/singlepackshot/794032C01_RGB.png"",""mode"":1}")</f>
        <v>{"url":"https://us.pandora.net/on/demandware.static/-/Sites-pandora-master-catalog/default/dwbb259ca6/productimages/singlepackshot/794032C01_RGB.png","mode":1}</v>
      </c>
      <c r="D3370" s="5" t="str">
        <f ca="1">IFERROR(ROWSDUMMYFUNCTION(IF(A3370="","",CONCATENATE("https://us.pandora.net/on/demandware.static/-/Sites-pandora-master-catalog/default/dwbb259ca6/productimages/singlepackshot/",LEFT(A3370,FIND("-",A3370&amp;"-")-1),"_RGB.png"))),"https://us.pandora.net/on/demandware.static/-/Sites-pandora-master-catalog/default/dwbb259ca6/productimages/singlepackshot/794032C01_RGB.png")</f>
        <v>https://us.pandora.net/on/demandware.static/-/Sites-pandora-master-catalog/default/dwbb259ca6/productimages/singlepackshot/794032C01_RGB.png</v>
      </c>
    </row>
    <row r="3371" spans="1:4" x14ac:dyDescent="0.25">
      <c r="A3371" s="3" t="s">
        <v>3373</v>
      </c>
      <c r="B3371" s="4">
        <v>29</v>
      </c>
      <c r="C3371" s="3" t="str">
        <f ca="1">IFERROR(ROWSDUMMYFUNCTION(IF(A3371="","",IFERROR(IMAGE(CONCATENATE("https://us.pandora.net/on/demandware.static/-/Sites-pandora-master-catalog/default/dwbb259ca6/productimages/singlepackshot/",LEFT(A3371,FIND("-",A3371&amp;"-")-1),"_RGB.png")),""))),"{""url"":""https://us.pandora.net/on/demandware.static/-/Sites-pandora-master-catalog/default/dwbb259ca6/productimages/singlepackshot/794040C00_RGB.png"",""mode"":1}")</f>
        <v>{"url":"https://us.pandora.net/on/demandware.static/-/Sites-pandora-master-catalog/default/dwbb259ca6/productimages/singlepackshot/794040C00_RGB.png","mode":1}</v>
      </c>
      <c r="D3371" s="5" t="str">
        <f ca="1">IFERROR(ROWSDUMMYFUNCTION(IF(A3371="","",CONCATENATE("https://us.pandora.net/on/demandware.static/-/Sites-pandora-master-catalog/default/dwbb259ca6/productimages/singlepackshot/",LEFT(A3371,FIND("-",A3371&amp;"-")-1),"_RGB.png"))),"https://us.pandora.net/on/demandware.static/-/Sites-pandora-master-catalog/default/dwbb259ca6/productimages/singlepackshot/794040C00_RGB.png")</f>
        <v>https://us.pandora.net/on/demandware.static/-/Sites-pandora-master-catalog/default/dwbb259ca6/productimages/singlepackshot/794040C00_RGB.png</v>
      </c>
    </row>
    <row r="3372" spans="1:4" x14ac:dyDescent="0.25">
      <c r="A3372" s="3" t="s">
        <v>3374</v>
      </c>
      <c r="B3372" s="4">
        <v>29</v>
      </c>
      <c r="C3372" s="3" t="str">
        <f ca="1">IFERROR(ROWSDUMMYFUNCTION(IF(A3372="","",IFERROR(IMAGE(CONCATENATE("https://us.pandora.net/on/demandware.static/-/Sites-pandora-master-catalog/default/dwbb259ca6/productimages/singlepackshot/",LEFT(A3372,FIND("-",A3372&amp;"-")-1),"_RGB.png")),""))),"{""url"":""https://us.pandora.net/on/demandware.static/-/Sites-pandora-master-catalog/default/dwbb259ca6/productimages/singlepackshot/794043C00_RGB.png"",""mode"":1}")</f>
        <v>{"url":"https://us.pandora.net/on/demandware.static/-/Sites-pandora-master-catalog/default/dwbb259ca6/productimages/singlepackshot/794043C00_RGB.png","mode":1}</v>
      </c>
      <c r="D3372" s="5" t="str">
        <f ca="1">IFERROR(ROWSDUMMYFUNCTION(IF(A3372="","",CONCATENATE("https://us.pandora.net/on/demandware.static/-/Sites-pandora-master-catalog/default/dwbb259ca6/productimages/singlepackshot/",LEFT(A3372,FIND("-",A3372&amp;"-")-1),"_RGB.png"))),"https://us.pandora.net/on/demandware.static/-/Sites-pandora-master-catalog/default/dwbb259ca6/productimages/singlepackshot/794043C00_RGB.png")</f>
        <v>https://us.pandora.net/on/demandware.static/-/Sites-pandora-master-catalog/default/dwbb259ca6/productimages/singlepackshot/794043C00_RGB.png</v>
      </c>
    </row>
    <row r="3373" spans="1:4" x14ac:dyDescent="0.25">
      <c r="A3373" s="3" t="s">
        <v>3375</v>
      </c>
      <c r="B3373" s="4">
        <v>29</v>
      </c>
      <c r="C3373" s="3" t="str">
        <f ca="1">IFERROR(ROWSDUMMYFUNCTION(IF(A3373="","",IFERROR(IMAGE(CONCATENATE("https://us.pandora.net/on/demandware.static/-/Sites-pandora-master-catalog/default/dwbb259ca6/productimages/singlepackshot/",LEFT(A3373,FIND("-",A3373&amp;"-")-1),"_RGB.png")),""))),"{""url"":""https://us.pandora.net/on/demandware.static/-/Sites-pandora-master-catalog/default/dwbb259ca6/productimages/singlepackshot/794050C00_RGB.png"",""mode"":1}")</f>
        <v>{"url":"https://us.pandora.net/on/demandware.static/-/Sites-pandora-master-catalog/default/dwbb259ca6/productimages/singlepackshot/794050C00_RGB.png","mode":1}</v>
      </c>
      <c r="D3373" s="5" t="str">
        <f ca="1">IFERROR(ROWSDUMMYFUNCTION(IF(A3373="","",CONCATENATE("https://us.pandora.net/on/demandware.static/-/Sites-pandora-master-catalog/default/dwbb259ca6/productimages/singlepackshot/",LEFT(A3373,FIND("-",A3373&amp;"-")-1),"_RGB.png"))),"https://us.pandora.net/on/demandware.static/-/Sites-pandora-master-catalog/default/dwbb259ca6/productimages/singlepackshot/794050C00_RGB.png")</f>
        <v>https://us.pandora.net/on/demandware.static/-/Sites-pandora-master-catalog/default/dwbb259ca6/productimages/singlepackshot/794050C00_RGB.png</v>
      </c>
    </row>
    <row r="3374" spans="1:4" x14ac:dyDescent="0.25">
      <c r="A3374" s="3" t="s">
        <v>3376</v>
      </c>
      <c r="B3374" s="4">
        <v>29</v>
      </c>
      <c r="C3374" s="3" t="str">
        <f ca="1">IFERROR(ROWSDUMMYFUNCTION(IF(A3374="","",IFERROR(IMAGE(CONCATENATE("https://us.pandora.net/on/demandware.static/-/Sites-pandora-master-catalog/default/dwbb259ca6/productimages/singlepackshot/",LEFT(A3374,FIND("-",A3374&amp;"-")-1),"_RGB.png")),""))),"{""url"":""https://us.pandora.net/on/demandware.static/-/Sites-pandora-master-catalog/default/dwbb259ca6/productimages/singlepackshot/794054C00_RGB.png"",""mode"":1}")</f>
        <v>{"url":"https://us.pandora.net/on/demandware.static/-/Sites-pandora-master-catalog/default/dwbb259ca6/productimages/singlepackshot/794054C00_RGB.png","mode":1}</v>
      </c>
      <c r="D3374" s="5" t="str">
        <f ca="1">IFERROR(ROWSDUMMYFUNCTION(IF(A3374="","",CONCATENATE("https://us.pandora.net/on/demandware.static/-/Sites-pandora-master-catalog/default/dwbb259ca6/productimages/singlepackshot/",LEFT(A3374,FIND("-",A3374&amp;"-")-1),"_RGB.png"))),"https://us.pandora.net/on/demandware.static/-/Sites-pandora-master-catalog/default/dwbb259ca6/productimages/singlepackshot/794054C00_RGB.png")</f>
        <v>https://us.pandora.net/on/demandware.static/-/Sites-pandora-master-catalog/default/dwbb259ca6/productimages/singlepackshot/794054C00_RGB.png</v>
      </c>
    </row>
    <row r="3375" spans="1:4" x14ac:dyDescent="0.25">
      <c r="A3375" s="3" t="s">
        <v>3377</v>
      </c>
      <c r="B3375" s="4">
        <v>29</v>
      </c>
      <c r="C3375" s="3" t="str">
        <f ca="1">IFERROR(ROWSDUMMYFUNCTION(IF(A3375="","",IFERROR(IMAGE(CONCATENATE("https://us.pandora.net/on/demandware.static/-/Sites-pandora-master-catalog/default/dwbb259ca6/productimages/singlepackshot/",LEFT(A3375,FIND("-",A3375&amp;"-")-1),"_RGB.png")),""))),"{""url"":""https://us.pandora.net/on/demandware.static/-/Sites-pandora-master-catalog/default/dwbb259ca6/productimages/singlepackshot/794056C00_RGB.png"",""mode"":1}")</f>
        <v>{"url":"https://us.pandora.net/on/demandware.static/-/Sites-pandora-master-catalog/default/dwbb259ca6/productimages/singlepackshot/794056C00_RGB.png","mode":1}</v>
      </c>
      <c r="D3375" s="5" t="str">
        <f ca="1">IFERROR(ROWSDUMMYFUNCTION(IF(A3375="","",CONCATENATE("https://us.pandora.net/on/demandware.static/-/Sites-pandora-master-catalog/default/dwbb259ca6/productimages/singlepackshot/",LEFT(A3375,FIND("-",A3375&amp;"-")-1),"_RGB.png"))),"https://us.pandora.net/on/demandware.static/-/Sites-pandora-master-catalog/default/dwbb259ca6/productimages/singlepackshot/794056C00_RGB.png")</f>
        <v>https://us.pandora.net/on/demandware.static/-/Sites-pandora-master-catalog/default/dwbb259ca6/productimages/singlepackshot/794056C00_RGB.png</v>
      </c>
    </row>
    <row r="3376" spans="1:4" x14ac:dyDescent="0.25">
      <c r="A3376" s="3" t="s">
        <v>3378</v>
      </c>
      <c r="B3376" s="4">
        <v>59</v>
      </c>
      <c r="C3376" s="3" t="str">
        <f ca="1">IFERROR(ROWSDUMMYFUNCTION(IF(A3376="","",IFERROR(IMAGE(CONCATENATE("https://us.pandora.net/on/demandware.static/-/Sites-pandora-master-catalog/default/dwbb259ca6/productimages/singlepackshot/",LEFT(A3376,FIND("-",A3376&amp;"-")-1),"_RGB.png")),""))),"{""url"":""https://us.pandora.net/on/demandware.static/-/Sites-pandora-master-catalog/default/dwbb259ca6/productimages/singlepackshot/794058C01_RGB.png"",""mode"":1}")</f>
        <v>{"url":"https://us.pandora.net/on/demandware.static/-/Sites-pandora-master-catalog/default/dwbb259ca6/productimages/singlepackshot/794058C01_RGB.png","mode":1}</v>
      </c>
      <c r="D3376" s="5" t="str">
        <f ca="1">IFERROR(ROWSDUMMYFUNCTION(IF(A3376="","",CONCATENATE("https://us.pandora.net/on/demandware.static/-/Sites-pandora-master-catalog/default/dwbb259ca6/productimages/singlepackshot/",LEFT(A3376,FIND("-",A3376&amp;"-")-1),"_RGB.png"))),"https://us.pandora.net/on/demandware.static/-/Sites-pandora-master-catalog/default/dwbb259ca6/productimages/singlepackshot/794058C01_RGB.png")</f>
        <v>https://us.pandora.net/on/demandware.static/-/Sites-pandora-master-catalog/default/dwbb259ca6/productimages/singlepackshot/794058C01_RGB.png</v>
      </c>
    </row>
    <row r="3377" spans="1:4" x14ac:dyDescent="0.25">
      <c r="A3377" s="3" t="s">
        <v>3379</v>
      </c>
      <c r="B3377" s="4">
        <v>59</v>
      </c>
      <c r="C3377" s="3" t="str">
        <f ca="1">IFERROR(ROWSDUMMYFUNCTION(IF(A3377="","",IFERROR(IMAGE(CONCATENATE("https://us.pandora.net/on/demandware.static/-/Sites-pandora-master-catalog/default/dwbb259ca6/productimages/singlepackshot/",LEFT(A3377,FIND("-",A3377&amp;"-")-1),"_RGB.png")),""))),"{""url"":""https://us.pandora.net/on/demandware.static/-/Sites-pandora-master-catalog/default/dwbb259ca6/productimages/singlepackshot/794060C01_RGB.png"",""mode"":1}")</f>
        <v>{"url":"https://us.pandora.net/on/demandware.static/-/Sites-pandora-master-catalog/default/dwbb259ca6/productimages/singlepackshot/794060C01_RGB.png","mode":1}</v>
      </c>
      <c r="D3377" s="5" t="str">
        <f ca="1">IFERROR(ROWSDUMMYFUNCTION(IF(A3377="","",CONCATENATE("https://us.pandora.net/on/demandware.static/-/Sites-pandora-master-catalog/default/dwbb259ca6/productimages/singlepackshot/",LEFT(A3377,FIND("-",A3377&amp;"-")-1),"_RGB.png"))),"https://us.pandora.net/on/demandware.static/-/Sites-pandora-master-catalog/default/dwbb259ca6/productimages/singlepackshot/794060C01_RGB.png")</f>
        <v>https://us.pandora.net/on/demandware.static/-/Sites-pandora-master-catalog/default/dwbb259ca6/productimages/singlepackshot/794060C01_RGB.png</v>
      </c>
    </row>
    <row r="3378" spans="1:4" x14ac:dyDescent="0.25">
      <c r="A3378" s="3" t="s">
        <v>3380</v>
      </c>
      <c r="B3378" s="4">
        <v>25</v>
      </c>
      <c r="C3378" s="3" t="str">
        <f ca="1">IFERROR(ROWSDUMMYFUNCTION(IF(A3378="","",IFERROR(IMAGE(CONCATENATE("https://us.pandora.net/on/demandware.static/-/Sites-pandora-master-catalog/default/dwbb259ca6/productimages/singlepackshot/",LEFT(A3378,FIND("-",A3378&amp;"-")-1),"_RGB.png")),""))),"{""url"":""https://us.pandora.net/on/demandware.static/-/Sites-pandora-master-catalog/default/dwbb259ca6/productimages/singlepackshot/794062C01_RGB.png"",""mode"":1}")</f>
        <v>{"url":"https://us.pandora.net/on/demandware.static/-/Sites-pandora-master-catalog/default/dwbb259ca6/productimages/singlepackshot/794062C01_RGB.png","mode":1}</v>
      </c>
      <c r="D3378" s="5" t="str">
        <f ca="1">IFERROR(ROWSDUMMYFUNCTION(IF(A3378="","",CONCATENATE("https://us.pandora.net/on/demandware.static/-/Sites-pandora-master-catalog/default/dwbb259ca6/productimages/singlepackshot/",LEFT(A3378,FIND("-",A3378&amp;"-")-1),"_RGB.png"))),"https://us.pandora.net/on/demandware.static/-/Sites-pandora-master-catalog/default/dwbb259ca6/productimages/singlepackshot/794062C01_RGB.png")</f>
        <v>https://us.pandora.net/on/demandware.static/-/Sites-pandora-master-catalog/default/dwbb259ca6/productimages/singlepackshot/794062C01_RGB.png</v>
      </c>
    </row>
    <row r="3379" spans="1:4" x14ac:dyDescent="0.25">
      <c r="A3379" s="3" t="s">
        <v>3381</v>
      </c>
      <c r="B3379" s="4">
        <v>29</v>
      </c>
      <c r="C3379" s="3" t="str">
        <f ca="1">IFERROR(ROWSDUMMYFUNCTION(IF(A3379="","",IFERROR(IMAGE(CONCATENATE("https://us.pandora.net/on/demandware.static/-/Sites-pandora-master-catalog/default/dwbb259ca6/productimages/singlepackshot/",LEFT(A3379,FIND("-",A3379&amp;"-")-1),"_RGB.png")),""))),"{""url"":""https://us.pandora.net/on/demandware.static/-/Sites-pandora-master-catalog/default/dwbb259ca6/productimages/singlepackshot/794063C01_RGB.png"",""mode"":1}")</f>
        <v>{"url":"https://us.pandora.net/on/demandware.static/-/Sites-pandora-master-catalog/default/dwbb259ca6/productimages/singlepackshot/794063C01_RGB.png","mode":1}</v>
      </c>
      <c r="D3379" s="5" t="str">
        <f ca="1">IFERROR(ROWSDUMMYFUNCTION(IF(A3379="","",CONCATENATE("https://us.pandora.net/on/demandware.static/-/Sites-pandora-master-catalog/default/dwbb259ca6/productimages/singlepackshot/",LEFT(A3379,FIND("-",A3379&amp;"-")-1),"_RGB.png"))),"https://us.pandora.net/on/demandware.static/-/Sites-pandora-master-catalog/default/dwbb259ca6/productimages/singlepackshot/794063C01_RGB.png")</f>
        <v>https://us.pandora.net/on/demandware.static/-/Sites-pandora-master-catalog/default/dwbb259ca6/productimages/singlepackshot/794063C01_RGB.png</v>
      </c>
    </row>
    <row r="3380" spans="1:4" x14ac:dyDescent="0.25">
      <c r="A3380" s="3" t="s">
        <v>3382</v>
      </c>
      <c r="B3380" s="4">
        <v>39</v>
      </c>
      <c r="C3380" s="3" t="str">
        <f ca="1">IFERROR(ROWSDUMMYFUNCTION(IF(A3380="","",IFERROR(IMAGE(CONCATENATE("https://us.pandora.net/on/demandware.static/-/Sites-pandora-master-catalog/default/dwbb259ca6/productimages/singlepackshot/",LEFT(A3380,FIND("-",A3380&amp;"-")-1),"_RGB.png")),""))),"{""url"":""https://us.pandora.net/on/demandware.static/-/Sites-pandora-master-catalog/default/dwbb259ca6/productimages/singlepackshot/794085C01_RGB.png"",""mode"":1}")</f>
        <v>{"url":"https://us.pandora.net/on/demandware.static/-/Sites-pandora-master-catalog/default/dwbb259ca6/productimages/singlepackshot/794085C01_RGB.png","mode":1}</v>
      </c>
      <c r="D3380" s="5" t="str">
        <f ca="1">IFERROR(ROWSDUMMYFUNCTION(IF(A3380="","",CONCATENATE("https://us.pandora.net/on/demandware.static/-/Sites-pandora-master-catalog/default/dwbb259ca6/productimages/singlepackshot/",LEFT(A3380,FIND("-",A3380&amp;"-")-1),"_RGB.png"))),"https://us.pandora.net/on/demandware.static/-/Sites-pandora-master-catalog/default/dwbb259ca6/productimages/singlepackshot/794085C01_RGB.png")</f>
        <v>https://us.pandora.net/on/demandware.static/-/Sites-pandora-master-catalog/default/dwbb259ca6/productimages/singlepackshot/794085C01_RGB.png</v>
      </c>
    </row>
    <row r="3381" spans="1:4" x14ac:dyDescent="0.25">
      <c r="A3381" s="3" t="s">
        <v>3383</v>
      </c>
      <c r="B3381" s="4">
        <v>29</v>
      </c>
      <c r="C3381" s="3" t="str">
        <f ca="1">IFERROR(ROWSDUMMYFUNCTION(IF(A3381="","",IFERROR(IMAGE(CONCATENATE("https://us.pandora.net/on/demandware.static/-/Sites-pandora-master-catalog/default/dwbb259ca6/productimages/singlepackshot/",LEFT(A3381,FIND("-",A3381&amp;"-")-1),"_RGB.png")),""))),"{""url"":""https://us.pandora.net/on/demandware.static/-/Sites-pandora-master-catalog/default/dwbb259ca6/productimages/singlepackshot/794089C01_RGB.png"",""mode"":1}")</f>
        <v>{"url":"https://us.pandora.net/on/demandware.static/-/Sites-pandora-master-catalog/default/dwbb259ca6/productimages/singlepackshot/794089C01_RGB.png","mode":1}</v>
      </c>
      <c r="D3381" s="5" t="str">
        <f ca="1">IFERROR(ROWSDUMMYFUNCTION(IF(A3381="","",CONCATENATE("https://us.pandora.net/on/demandware.static/-/Sites-pandora-master-catalog/default/dwbb259ca6/productimages/singlepackshot/",LEFT(A3381,FIND("-",A3381&amp;"-")-1),"_RGB.png"))),"https://us.pandora.net/on/demandware.static/-/Sites-pandora-master-catalog/default/dwbb259ca6/productimages/singlepackshot/794089C01_RGB.png")</f>
        <v>https://us.pandora.net/on/demandware.static/-/Sites-pandora-master-catalog/default/dwbb259ca6/productimages/singlepackshot/794089C01_RGB.png</v>
      </c>
    </row>
    <row r="3382" spans="1:4" x14ac:dyDescent="0.25">
      <c r="A3382" s="3" t="s">
        <v>3384</v>
      </c>
      <c r="B3382" s="4">
        <v>69</v>
      </c>
      <c r="C3382" s="3" t="str">
        <f ca="1">IFERROR(ROWSDUMMYFUNCTION(IF(A3382="","",IFERROR(IMAGE(CONCATENATE("https://us.pandora.net/on/demandware.static/-/Sites-pandora-master-catalog/default/dwbb259ca6/productimages/singlepackshot/",LEFT(A3382,FIND("-",A3382&amp;"-")-1),"_RGB.png")),""))),"{""url"":""https://us.pandora.net/on/demandware.static/-/Sites-pandora-master-catalog/default/dwbb259ca6/productimages/singlepackshot/794129C01_RGB.png"",""mode"":1}")</f>
        <v>{"url":"https://us.pandora.net/on/demandware.static/-/Sites-pandora-master-catalog/default/dwbb259ca6/productimages/singlepackshot/794129C01_RGB.png","mode":1}</v>
      </c>
      <c r="D3382" s="5" t="str">
        <f ca="1">IFERROR(ROWSDUMMYFUNCTION(IF(A3382="","",CONCATENATE("https://us.pandora.net/on/demandware.static/-/Sites-pandora-master-catalog/default/dwbb259ca6/productimages/singlepackshot/",LEFT(A3382,FIND("-",A3382&amp;"-")-1),"_RGB.png"))),"https://us.pandora.net/on/demandware.static/-/Sites-pandora-master-catalog/default/dwbb259ca6/productimages/singlepackshot/794129C01_RGB.png")</f>
        <v>https://us.pandora.net/on/demandware.static/-/Sites-pandora-master-catalog/default/dwbb259ca6/productimages/singlepackshot/794129C01_RGB.png</v>
      </c>
    </row>
    <row r="3383" spans="1:4" x14ac:dyDescent="0.25">
      <c r="A3383" s="3" t="s">
        <v>3385</v>
      </c>
      <c r="B3383" s="4">
        <v>69</v>
      </c>
      <c r="C3383" s="3" t="str">
        <f ca="1">IFERROR(ROWSDUMMYFUNCTION(IF(A3383="","",IFERROR(IMAGE(CONCATENATE("https://us.pandora.net/on/demandware.static/-/Sites-pandora-master-catalog/default/dwbb259ca6/productimages/singlepackshot/",LEFT(A3383,FIND("-",A3383&amp;"-")-1),"_RGB.png")),""))),"{""url"":""https://us.pandora.net/on/demandware.static/-/Sites-pandora-master-catalog/default/dwbb259ca6/productimages/singlepackshot/794140C01_RGB.png"",""mode"":1}")</f>
        <v>{"url":"https://us.pandora.net/on/demandware.static/-/Sites-pandora-master-catalog/default/dwbb259ca6/productimages/singlepackshot/794140C01_RGB.png","mode":1}</v>
      </c>
      <c r="D3383" s="5" t="str">
        <f ca="1">IFERROR(ROWSDUMMYFUNCTION(IF(A3383="","",CONCATENATE("https://us.pandora.net/on/demandware.static/-/Sites-pandora-master-catalog/default/dwbb259ca6/productimages/singlepackshot/",LEFT(A3383,FIND("-",A3383&amp;"-")-1),"_RGB.png"))),"https://us.pandora.net/on/demandware.static/-/Sites-pandora-master-catalog/default/dwbb259ca6/productimages/singlepackshot/794140C01_RGB.png")</f>
        <v>https://us.pandora.net/on/demandware.static/-/Sites-pandora-master-catalog/default/dwbb259ca6/productimages/singlepackshot/794140C01_RGB.png</v>
      </c>
    </row>
    <row r="3384" spans="1:4" x14ac:dyDescent="0.25">
      <c r="A3384" s="3" t="s">
        <v>3386</v>
      </c>
      <c r="B3384" s="4">
        <v>59</v>
      </c>
      <c r="C3384" s="3" t="str">
        <f ca="1">IFERROR(ROWSDUMMYFUNCTION(IF(A3384="","",IFERROR(IMAGE(CONCATENATE("https://us.pandora.net/on/demandware.static/-/Sites-pandora-master-catalog/default/dwbb259ca6/productimages/singlepackshot/",LEFT(A3384,FIND("-",A3384&amp;"-")-1),"_RGB.png")),""))),"{""url"":""https://us.pandora.net/on/demandware.static/-/Sites-pandora-master-catalog/default/dwbb259ca6/productimages/singlepackshot/794142C01_RGB.png"",""mode"":1}")</f>
        <v>{"url":"https://us.pandora.net/on/demandware.static/-/Sites-pandora-master-catalog/default/dwbb259ca6/productimages/singlepackshot/794142C01_RGB.png","mode":1}</v>
      </c>
      <c r="D3384" s="5" t="str">
        <f ca="1">IFERROR(ROWSDUMMYFUNCTION(IF(A3384="","",CONCATENATE("https://us.pandora.net/on/demandware.static/-/Sites-pandora-master-catalog/default/dwbb259ca6/productimages/singlepackshot/",LEFT(A3384,FIND("-",A3384&amp;"-")-1),"_RGB.png"))),"https://us.pandora.net/on/demandware.static/-/Sites-pandora-master-catalog/default/dwbb259ca6/productimages/singlepackshot/794142C01_RGB.png")</f>
        <v>https://us.pandora.net/on/demandware.static/-/Sites-pandora-master-catalog/default/dwbb259ca6/productimages/singlepackshot/794142C01_RGB.png</v>
      </c>
    </row>
    <row r="3385" spans="1:4" x14ac:dyDescent="0.25">
      <c r="A3385" s="3" t="s">
        <v>3387</v>
      </c>
      <c r="B3385" s="4">
        <v>59</v>
      </c>
      <c r="C3385" s="3" t="str">
        <f ca="1">IFERROR(ROWSDUMMYFUNCTION(IF(A3385="","",IFERROR(IMAGE(CONCATENATE("https://us.pandora.net/on/demandware.static/-/Sites-pandora-master-catalog/default/dwbb259ca6/productimages/singlepackshot/",LEFT(A3385,FIND("-",A3385&amp;"-")-1),"_RGB.png")),""))),"{""url"":""https://us.pandora.net/on/demandware.static/-/Sites-pandora-master-catalog/default/dwbb259ca6/productimages/singlepackshot/794143C01_RGB.png"",""mode"":1}")</f>
        <v>{"url":"https://us.pandora.net/on/demandware.static/-/Sites-pandora-master-catalog/default/dwbb259ca6/productimages/singlepackshot/794143C01_RGB.png","mode":1}</v>
      </c>
      <c r="D3385" s="5" t="str">
        <f ca="1">IFERROR(ROWSDUMMYFUNCTION(IF(A3385="","",CONCATENATE("https://us.pandora.net/on/demandware.static/-/Sites-pandora-master-catalog/default/dwbb259ca6/productimages/singlepackshot/",LEFT(A3385,FIND("-",A3385&amp;"-")-1),"_RGB.png"))),"https://us.pandora.net/on/demandware.static/-/Sites-pandora-master-catalog/default/dwbb259ca6/productimages/singlepackshot/794143C01_RGB.png")</f>
        <v>https://us.pandora.net/on/demandware.static/-/Sites-pandora-master-catalog/default/dwbb259ca6/productimages/singlepackshot/794143C01_RGB.png</v>
      </c>
    </row>
    <row r="3386" spans="1:4" x14ac:dyDescent="0.25">
      <c r="A3386" s="3" t="s">
        <v>3388</v>
      </c>
      <c r="B3386" s="4">
        <v>59</v>
      </c>
      <c r="C3386" s="3" t="str">
        <f ca="1">IFERROR(ROWSDUMMYFUNCTION(IF(A3386="","",IFERROR(IMAGE(CONCATENATE("https://us.pandora.net/on/demandware.static/-/Sites-pandora-master-catalog/default/dwbb259ca6/productimages/singlepackshot/",LEFT(A3386,FIND("-",A3386&amp;"-")-1),"_RGB.png")),""))),"{""url"":""https://us.pandora.net/on/demandware.static/-/Sites-pandora-master-catalog/default/dwbb259ca6/productimages/singlepackshot/794146C01_RGB.png"",""mode"":1}")</f>
        <v>{"url":"https://us.pandora.net/on/demandware.static/-/Sites-pandora-master-catalog/default/dwbb259ca6/productimages/singlepackshot/794146C01_RGB.png","mode":1}</v>
      </c>
      <c r="D3386" s="5" t="str">
        <f ca="1">IFERROR(ROWSDUMMYFUNCTION(IF(A3386="","",CONCATENATE("https://us.pandora.net/on/demandware.static/-/Sites-pandora-master-catalog/default/dwbb259ca6/productimages/singlepackshot/",LEFT(A3386,FIND("-",A3386&amp;"-")-1),"_RGB.png"))),"https://us.pandora.net/on/demandware.static/-/Sites-pandora-master-catalog/default/dwbb259ca6/productimages/singlepackshot/794146C01_RGB.png")</f>
        <v>https://us.pandora.net/on/demandware.static/-/Sites-pandora-master-catalog/default/dwbb259ca6/productimages/singlepackshot/794146C01_RGB.png</v>
      </c>
    </row>
    <row r="3387" spans="1:4" x14ac:dyDescent="0.25">
      <c r="A3387" s="3" t="s">
        <v>3389</v>
      </c>
      <c r="B3387" s="4">
        <v>39</v>
      </c>
      <c r="C3387" s="3" t="str">
        <f ca="1">IFERROR(ROWSDUMMYFUNCTION(IF(A3387="","",IFERROR(IMAGE(CONCATENATE("https://us.pandora.net/on/demandware.static/-/Sites-pandora-master-catalog/default/dwbb259ca6/productimages/singlepackshot/",LEFT(A3387,FIND("-",A3387&amp;"-")-1),"_RGB.png")),""))),"{""url"":""https://us.pandora.net/on/demandware.static/-/Sites-pandora-master-catalog/default/dwbb259ca6/productimages/singlepackshot/794161C01_RGB.png"",""mode"":1}")</f>
        <v>{"url":"https://us.pandora.net/on/demandware.static/-/Sites-pandora-master-catalog/default/dwbb259ca6/productimages/singlepackshot/794161C01_RGB.png","mode":1}</v>
      </c>
      <c r="D3387" s="5" t="str">
        <f ca="1">IFERROR(ROWSDUMMYFUNCTION(IF(A3387="","",CONCATENATE("https://us.pandora.net/on/demandware.static/-/Sites-pandora-master-catalog/default/dwbb259ca6/productimages/singlepackshot/",LEFT(A3387,FIND("-",A3387&amp;"-")-1),"_RGB.png"))),"https://us.pandora.net/on/demandware.static/-/Sites-pandora-master-catalog/default/dwbb259ca6/productimages/singlepackshot/794161C01_RGB.png")</f>
        <v>https://us.pandora.net/on/demandware.static/-/Sites-pandora-master-catalog/default/dwbb259ca6/productimages/singlepackshot/794161C01_RGB.png</v>
      </c>
    </row>
    <row r="3388" spans="1:4" x14ac:dyDescent="0.25">
      <c r="A3388" s="3" t="s">
        <v>3390</v>
      </c>
      <c r="B3388" s="4">
        <v>39</v>
      </c>
      <c r="C3388" s="3" t="str">
        <f ca="1">IFERROR(ROWSDUMMYFUNCTION(IF(A3388="","",IFERROR(IMAGE(CONCATENATE("https://us.pandora.net/on/demandware.static/-/Sites-pandora-master-catalog/default/dwbb259ca6/productimages/singlepackshot/",LEFT(A3388,FIND("-",A3388&amp;"-")-1),"_RGB.png")),""))),"{""url"":""https://us.pandora.net/on/demandware.static/-/Sites-pandora-master-catalog/default/dwbb259ca6/productimages/singlepackshot/794161C03_RGB.png"",""mode"":1}")</f>
        <v>{"url":"https://us.pandora.net/on/demandware.static/-/Sites-pandora-master-catalog/default/dwbb259ca6/productimages/singlepackshot/794161C03_RGB.png","mode":1}</v>
      </c>
      <c r="D3388" s="5" t="str">
        <f ca="1">IFERROR(ROWSDUMMYFUNCTION(IF(A3388="","",CONCATENATE("https://us.pandora.net/on/demandware.static/-/Sites-pandora-master-catalog/default/dwbb259ca6/productimages/singlepackshot/",LEFT(A3388,FIND("-",A3388&amp;"-")-1),"_RGB.png"))),"https://us.pandora.net/on/demandware.static/-/Sites-pandora-master-catalog/default/dwbb259ca6/productimages/singlepackshot/794161C03_RGB.png")</f>
        <v>https://us.pandora.net/on/demandware.static/-/Sites-pandora-master-catalog/default/dwbb259ca6/productimages/singlepackshot/794161C03_RGB.png</v>
      </c>
    </row>
    <row r="3389" spans="1:4" x14ac:dyDescent="0.25">
      <c r="A3389" s="3" t="s">
        <v>3391</v>
      </c>
      <c r="B3389" s="4">
        <v>39</v>
      </c>
      <c r="C3389" s="3" t="str">
        <f ca="1">IFERROR(ROWSDUMMYFUNCTION(IF(A3389="","",IFERROR(IMAGE(CONCATENATE("https://us.pandora.net/on/demandware.static/-/Sites-pandora-master-catalog/default/dwbb259ca6/productimages/singlepackshot/",LEFT(A3389,FIND("-",A3389&amp;"-")-1),"_RGB.png")),""))),"{""url"":""https://us.pandora.net/on/demandware.static/-/Sites-pandora-master-catalog/default/dwbb259ca6/productimages/singlepackshot/794161C04_RGB.png"",""mode"":1}")</f>
        <v>{"url":"https://us.pandora.net/on/demandware.static/-/Sites-pandora-master-catalog/default/dwbb259ca6/productimages/singlepackshot/794161C04_RGB.png","mode":1}</v>
      </c>
      <c r="D3389" s="5" t="str">
        <f ca="1">IFERROR(ROWSDUMMYFUNCTION(IF(A3389="","",CONCATENATE("https://us.pandora.net/on/demandware.static/-/Sites-pandora-master-catalog/default/dwbb259ca6/productimages/singlepackshot/",LEFT(A3389,FIND("-",A3389&amp;"-")-1),"_RGB.png"))),"https://us.pandora.net/on/demandware.static/-/Sites-pandora-master-catalog/default/dwbb259ca6/productimages/singlepackshot/794161C04_RGB.png")</f>
        <v>https://us.pandora.net/on/demandware.static/-/Sites-pandora-master-catalog/default/dwbb259ca6/productimages/singlepackshot/794161C04_RGB.png</v>
      </c>
    </row>
    <row r="3390" spans="1:4" x14ac:dyDescent="0.25">
      <c r="A3390" s="3" t="s">
        <v>3392</v>
      </c>
      <c r="B3390" s="4">
        <v>39</v>
      </c>
      <c r="C3390" s="3" t="str">
        <f ca="1">IFERROR(ROWSDUMMYFUNCTION(IF(A3390="","",IFERROR(IMAGE(CONCATENATE("https://us.pandora.net/on/demandware.static/-/Sites-pandora-master-catalog/default/dwbb259ca6/productimages/singlepackshot/",LEFT(A3390,FIND("-",A3390&amp;"-")-1),"_RGB.png")),""))),"{""url"":""https://us.pandora.net/on/demandware.static/-/Sites-pandora-master-catalog/default/dwbb259ca6/productimages/singlepackshot/794161C05_RGB.png"",""mode"":1}")</f>
        <v>{"url":"https://us.pandora.net/on/demandware.static/-/Sites-pandora-master-catalog/default/dwbb259ca6/productimages/singlepackshot/794161C05_RGB.png","mode":1}</v>
      </c>
      <c r="D3390" s="5" t="str">
        <f ca="1">IFERROR(ROWSDUMMYFUNCTION(IF(A3390="","",CONCATENATE("https://us.pandora.net/on/demandware.static/-/Sites-pandora-master-catalog/default/dwbb259ca6/productimages/singlepackshot/",LEFT(A3390,FIND("-",A3390&amp;"-")-1),"_RGB.png"))),"https://us.pandora.net/on/demandware.static/-/Sites-pandora-master-catalog/default/dwbb259ca6/productimages/singlepackshot/794161C05_RGB.png")</f>
        <v>https://us.pandora.net/on/demandware.static/-/Sites-pandora-master-catalog/default/dwbb259ca6/productimages/singlepackshot/794161C05_RGB.png</v>
      </c>
    </row>
    <row r="3391" spans="1:4" x14ac:dyDescent="0.25">
      <c r="A3391" s="3" t="s">
        <v>3393</v>
      </c>
      <c r="B3391" s="4">
        <v>39</v>
      </c>
      <c r="C3391" s="3" t="str">
        <f ca="1">IFERROR(ROWSDUMMYFUNCTION(IF(A3391="","",IFERROR(IMAGE(CONCATENATE("https://us.pandora.net/on/demandware.static/-/Sites-pandora-master-catalog/default/dwbb259ca6/productimages/singlepackshot/",LEFT(A3391,FIND("-",A3391&amp;"-")-1),"_RGB.png")),""))),"{""url"":""https://us.pandora.net/on/demandware.static/-/Sites-pandora-master-catalog/default/dwbb259ca6/productimages/singlepackshot/794161C06_RGB.png"",""mode"":1}")</f>
        <v>{"url":"https://us.pandora.net/on/demandware.static/-/Sites-pandora-master-catalog/default/dwbb259ca6/productimages/singlepackshot/794161C06_RGB.png","mode":1}</v>
      </c>
      <c r="D3391" s="5" t="str">
        <f ca="1">IFERROR(ROWSDUMMYFUNCTION(IF(A3391="","",CONCATENATE("https://us.pandora.net/on/demandware.static/-/Sites-pandora-master-catalog/default/dwbb259ca6/productimages/singlepackshot/",LEFT(A3391,FIND("-",A3391&amp;"-")-1),"_RGB.png"))),"https://us.pandora.net/on/demandware.static/-/Sites-pandora-master-catalog/default/dwbb259ca6/productimages/singlepackshot/794161C06_RGB.png")</f>
        <v>https://us.pandora.net/on/demandware.static/-/Sites-pandora-master-catalog/default/dwbb259ca6/productimages/singlepackshot/794161C06_RGB.png</v>
      </c>
    </row>
    <row r="3392" spans="1:4" x14ac:dyDescent="0.25">
      <c r="A3392" s="3" t="s">
        <v>3394</v>
      </c>
      <c r="B3392" s="4">
        <v>39</v>
      </c>
      <c r="C3392" s="3" t="str">
        <f ca="1">IFERROR(ROWSDUMMYFUNCTION(IF(A3392="","",IFERROR(IMAGE(CONCATENATE("https://us.pandora.net/on/demandware.static/-/Sites-pandora-master-catalog/default/dwbb259ca6/productimages/singlepackshot/",LEFT(A3392,FIND("-",A3392&amp;"-")-1),"_RGB.png")),""))),"{""url"":""https://us.pandora.net/on/demandware.static/-/Sites-pandora-master-catalog/default/dwbb259ca6/productimages/singlepackshot/794161C09_RGB.png"",""mode"":1}")</f>
        <v>{"url":"https://us.pandora.net/on/demandware.static/-/Sites-pandora-master-catalog/default/dwbb259ca6/productimages/singlepackshot/794161C09_RGB.png","mode":1}</v>
      </c>
      <c r="D3392" s="5" t="str">
        <f ca="1">IFERROR(ROWSDUMMYFUNCTION(IF(A3392="","",CONCATENATE("https://us.pandora.net/on/demandware.static/-/Sites-pandora-master-catalog/default/dwbb259ca6/productimages/singlepackshot/",LEFT(A3392,FIND("-",A3392&amp;"-")-1),"_RGB.png"))),"https://us.pandora.net/on/demandware.static/-/Sites-pandora-master-catalog/default/dwbb259ca6/productimages/singlepackshot/794161C09_RGB.png")</f>
        <v>https://us.pandora.net/on/demandware.static/-/Sites-pandora-master-catalog/default/dwbb259ca6/productimages/singlepackshot/794161C09_RGB.png</v>
      </c>
    </row>
    <row r="3393" spans="1:4" x14ac:dyDescent="0.25">
      <c r="A3393" s="3" t="s">
        <v>3395</v>
      </c>
      <c r="B3393" s="4">
        <v>79</v>
      </c>
      <c r="C3393" s="3" t="str">
        <f ca="1">IFERROR(ROWSDUMMYFUNCTION(IF(A3393="","",IFERROR(IMAGE(CONCATENATE("https://us.pandora.net/on/demandware.static/-/Sites-pandora-master-catalog/default/dwbb259ca6/productimages/singlepackshot/",LEFT(A3393,FIND("-",A3393&amp;"-")-1),"_RGB.png")),""))),"{""url"":""https://us.pandora.net/on/demandware.static/-/Sites-pandora-master-catalog/default/dwbb259ca6/productimages/singlepackshot/794209C01_RGB.png"",""mode"":1}")</f>
        <v>{"url":"https://us.pandora.net/on/demandware.static/-/Sites-pandora-master-catalog/default/dwbb259ca6/productimages/singlepackshot/794209C01_RGB.png","mode":1}</v>
      </c>
      <c r="D3393" s="5" t="str">
        <f ca="1">IFERROR(ROWSDUMMYFUNCTION(IF(A3393="","",CONCATENATE("https://us.pandora.net/on/demandware.static/-/Sites-pandora-master-catalog/default/dwbb259ca6/productimages/singlepackshot/",LEFT(A3393,FIND("-",A3393&amp;"-")-1),"_RGB.png"))),"https://us.pandora.net/on/demandware.static/-/Sites-pandora-master-catalog/default/dwbb259ca6/productimages/singlepackshot/794209C01_RGB.png")</f>
        <v>https://us.pandora.net/on/demandware.static/-/Sites-pandora-master-catalog/default/dwbb259ca6/productimages/singlepackshot/794209C01_RGB.png</v>
      </c>
    </row>
    <row r="3394" spans="1:4" x14ac:dyDescent="0.25">
      <c r="A3394" s="3" t="s">
        <v>3396</v>
      </c>
      <c r="B3394" s="4">
        <v>69</v>
      </c>
      <c r="C3394" s="3" t="str">
        <f ca="1">IFERROR(ROWSDUMMYFUNCTION(IF(A3394="","",IFERROR(IMAGE(CONCATENATE("https://us.pandora.net/on/demandware.static/-/Sites-pandora-master-catalog/default/dwbb259ca6/productimages/singlepackshot/",LEFT(A3394,FIND("-",A3394&amp;"-")-1),"_RGB.png")),""))),"{""url"":""https://us.pandora.net/on/demandware.static/-/Sites-pandora-master-catalog/default/dwbb259ca6/productimages/singlepackshot/794217C01_RGB.png"",""mode"":1}")</f>
        <v>{"url":"https://us.pandora.net/on/demandware.static/-/Sites-pandora-master-catalog/default/dwbb259ca6/productimages/singlepackshot/794217C01_RGB.png","mode":1}</v>
      </c>
      <c r="D3394" s="5" t="str">
        <f ca="1">IFERROR(ROWSDUMMYFUNCTION(IF(A3394="","",CONCATENATE("https://us.pandora.net/on/demandware.static/-/Sites-pandora-master-catalog/default/dwbb259ca6/productimages/singlepackshot/",LEFT(A3394,FIND("-",A3394&amp;"-")-1),"_RGB.png"))),"https://us.pandora.net/on/demandware.static/-/Sites-pandora-master-catalog/default/dwbb259ca6/productimages/singlepackshot/794217C01_RGB.png")</f>
        <v>https://us.pandora.net/on/demandware.static/-/Sites-pandora-master-catalog/default/dwbb259ca6/productimages/singlepackshot/794217C01_RGB.png</v>
      </c>
    </row>
    <row r="3395" spans="1:4" x14ac:dyDescent="0.25">
      <c r="A3395" s="3" t="s">
        <v>3397</v>
      </c>
      <c r="B3395" s="4">
        <v>69</v>
      </c>
      <c r="C3395" s="3" t="str">
        <f ca="1">IFERROR(ROWSDUMMYFUNCTION(IF(A3395="","",IFERROR(IMAGE(CONCATENATE("https://us.pandora.net/on/demandware.static/-/Sites-pandora-master-catalog/default/dwbb259ca6/productimages/singlepackshot/",LEFT(A3395,FIND("-",A3395&amp;"-")-1),"_RGB.png")),""))),"{""url"":""https://us.pandora.net/on/demandware.static/-/Sites-pandora-master-catalog/default/dwbb259ca6/productimages/singlepackshot/794218C01_RGB.png"",""mode"":1}")</f>
        <v>{"url":"https://us.pandora.net/on/demandware.static/-/Sites-pandora-master-catalog/default/dwbb259ca6/productimages/singlepackshot/794218C01_RGB.png","mode":1}</v>
      </c>
      <c r="D3395" s="5" t="str">
        <f ca="1">IFERROR(ROWSDUMMYFUNCTION(IF(A3395="","",CONCATENATE("https://us.pandora.net/on/demandware.static/-/Sites-pandora-master-catalog/default/dwbb259ca6/productimages/singlepackshot/",LEFT(A3395,FIND("-",A3395&amp;"-")-1),"_RGB.png"))),"https://us.pandora.net/on/demandware.static/-/Sites-pandora-master-catalog/default/dwbb259ca6/productimages/singlepackshot/794218C01_RGB.png")</f>
        <v>https://us.pandora.net/on/demandware.static/-/Sites-pandora-master-catalog/default/dwbb259ca6/productimages/singlepackshot/794218C01_RGB.png</v>
      </c>
    </row>
    <row r="3396" spans="1:4" x14ac:dyDescent="0.25">
      <c r="A3396" s="3" t="s">
        <v>3398</v>
      </c>
      <c r="B3396" s="4">
        <v>59</v>
      </c>
      <c r="C3396" s="3" t="str">
        <f ca="1">IFERROR(ROWSDUMMYFUNCTION(IF(A3396="","",IFERROR(IMAGE(CONCATENATE("https://us.pandora.net/on/demandware.static/-/Sites-pandora-master-catalog/default/dwbb259ca6/productimages/singlepackshot/",LEFT(A3396,FIND("-",A3396&amp;"-")-1),"_RGB.png")),""))),"{""url"":""https://us.pandora.net/on/demandware.static/-/Sites-pandora-master-catalog/default/dwbb259ca6/productimages/singlepackshot/794224C01_RGB.png"",""mode"":1}")</f>
        <v>{"url":"https://us.pandora.net/on/demandware.static/-/Sites-pandora-master-catalog/default/dwbb259ca6/productimages/singlepackshot/794224C01_RGB.png","mode":1}</v>
      </c>
      <c r="D3396" s="5" t="str">
        <f ca="1">IFERROR(ROWSDUMMYFUNCTION(IF(A3396="","",CONCATENATE("https://us.pandora.net/on/demandware.static/-/Sites-pandora-master-catalog/default/dwbb259ca6/productimages/singlepackshot/",LEFT(A3396,FIND("-",A3396&amp;"-")-1),"_RGB.png"))),"https://us.pandora.net/on/demandware.static/-/Sites-pandora-master-catalog/default/dwbb259ca6/productimages/singlepackshot/794224C01_RGB.png")</f>
        <v>https://us.pandora.net/on/demandware.static/-/Sites-pandora-master-catalog/default/dwbb259ca6/productimages/singlepackshot/794224C01_RGB.png</v>
      </c>
    </row>
    <row r="3397" spans="1:4" x14ac:dyDescent="0.25">
      <c r="A3397" s="3" t="s">
        <v>3399</v>
      </c>
      <c r="B3397" s="4">
        <v>59</v>
      </c>
      <c r="C3397" s="3" t="str">
        <f ca="1">IFERROR(ROWSDUMMYFUNCTION(IF(A3397="","",IFERROR(IMAGE(CONCATENATE("https://us.pandora.net/on/demandware.static/-/Sites-pandora-master-catalog/default/dwbb259ca6/productimages/singlepackshot/",LEFT(A3397,FIND("-",A3397&amp;"-")-1),"_RGB.png")),""))),"{""url"":""https://us.pandora.net/on/demandware.static/-/Sites-pandora-master-catalog/default/dwbb259ca6/productimages/singlepackshot/794238C01_RGB.png"",""mode"":1}")</f>
        <v>{"url":"https://us.pandora.net/on/demandware.static/-/Sites-pandora-master-catalog/default/dwbb259ca6/productimages/singlepackshot/794238C01_RGB.png","mode":1}</v>
      </c>
      <c r="D3397" s="5" t="str">
        <f ca="1">IFERROR(ROWSDUMMYFUNCTION(IF(A3397="","",CONCATENATE("https://us.pandora.net/on/demandware.static/-/Sites-pandora-master-catalog/default/dwbb259ca6/productimages/singlepackshot/",LEFT(A3397,FIND("-",A3397&amp;"-")-1),"_RGB.png"))),"https://us.pandora.net/on/demandware.static/-/Sites-pandora-master-catalog/default/dwbb259ca6/productimages/singlepackshot/794238C01_RGB.png")</f>
        <v>https://us.pandora.net/on/demandware.static/-/Sites-pandora-master-catalog/default/dwbb259ca6/productimages/singlepackshot/794238C01_RGB.png</v>
      </c>
    </row>
    <row r="3398" spans="1:4" x14ac:dyDescent="0.25">
      <c r="A3398" s="3" t="s">
        <v>3400</v>
      </c>
      <c r="B3398" s="4">
        <v>69</v>
      </c>
      <c r="C3398" s="3" t="str">
        <f ca="1">IFERROR(ROWSDUMMYFUNCTION(IF(A3398="","",IFERROR(IMAGE(CONCATENATE("https://us.pandora.net/on/demandware.static/-/Sites-pandora-master-catalog/default/dwbb259ca6/productimages/singlepackshot/",LEFT(A3398,FIND("-",A3398&amp;"-")-1),"_RGB.png")),""))),"{""url"":""https://us.pandora.net/on/demandware.static/-/Sites-pandora-master-catalog/default/dwbb259ca6/productimages/singlepackshot/794239C01_RGB.png"",""mode"":1}")</f>
        <v>{"url":"https://us.pandora.net/on/demandware.static/-/Sites-pandora-master-catalog/default/dwbb259ca6/productimages/singlepackshot/794239C01_RGB.png","mode":1}</v>
      </c>
      <c r="D3398" s="5" t="str">
        <f ca="1">IFERROR(ROWSDUMMYFUNCTION(IF(A3398="","",CONCATENATE("https://us.pandora.net/on/demandware.static/-/Sites-pandora-master-catalog/default/dwbb259ca6/productimages/singlepackshot/",LEFT(A3398,FIND("-",A3398&amp;"-")-1),"_RGB.png"))),"https://us.pandora.net/on/demandware.static/-/Sites-pandora-master-catalog/default/dwbb259ca6/productimages/singlepackshot/794239C01_RGB.png")</f>
        <v>https://us.pandora.net/on/demandware.static/-/Sites-pandora-master-catalog/default/dwbb259ca6/productimages/singlepackshot/794239C01_RGB.png</v>
      </c>
    </row>
    <row r="3399" spans="1:4" x14ac:dyDescent="0.25">
      <c r="A3399" s="3" t="s">
        <v>3401</v>
      </c>
      <c r="B3399" s="4">
        <v>59</v>
      </c>
      <c r="C3399" s="3" t="str">
        <f ca="1">IFERROR(ROWSDUMMYFUNCTION(IF(A3399="","",IFERROR(IMAGE(CONCATENATE("https://us.pandora.net/on/demandware.static/-/Sites-pandora-master-catalog/default/dwbb259ca6/productimages/singlepackshot/",LEFT(A3399,FIND("-",A3399&amp;"-")-1),"_RGB.png")),""))),"{""url"":""https://us.pandora.net/on/demandware.static/-/Sites-pandora-master-catalog/default/dwbb259ca6/productimages/singlepackshot/794240C01_RGB.png"",""mode"":1}")</f>
        <v>{"url":"https://us.pandora.net/on/demandware.static/-/Sites-pandora-master-catalog/default/dwbb259ca6/productimages/singlepackshot/794240C01_RGB.png","mode":1}</v>
      </c>
      <c r="D3399" s="5" t="str">
        <f ca="1">IFERROR(ROWSDUMMYFUNCTION(IF(A3399="","",CONCATENATE("https://us.pandora.net/on/demandware.static/-/Sites-pandora-master-catalog/default/dwbb259ca6/productimages/singlepackshot/",LEFT(A3399,FIND("-",A3399&amp;"-")-1),"_RGB.png"))),"https://us.pandora.net/on/demandware.static/-/Sites-pandora-master-catalog/default/dwbb259ca6/productimages/singlepackshot/794240C01_RGB.png")</f>
        <v>https://us.pandora.net/on/demandware.static/-/Sites-pandora-master-catalog/default/dwbb259ca6/productimages/singlepackshot/794240C01_RGB.png</v>
      </c>
    </row>
    <row r="3400" spans="1:4" x14ac:dyDescent="0.25">
      <c r="A3400" s="3" t="s">
        <v>3402</v>
      </c>
      <c r="B3400" s="4">
        <v>59</v>
      </c>
      <c r="C3400" s="3" t="str">
        <f ca="1">IFERROR(ROWSDUMMYFUNCTION(IF(A3400="","",IFERROR(IMAGE(CONCATENATE("https://us.pandora.net/on/demandware.static/-/Sites-pandora-master-catalog/default/dwbb259ca6/productimages/singlepackshot/",LEFT(A3400,FIND("-",A3400&amp;"-")-1),"_RGB.png")),""))),"{""url"":""https://us.pandora.net/on/demandware.static/-/Sites-pandora-master-catalog/default/dwbb259ca6/productimages/singlepackshot/794241C01_RGB.png"",""mode"":1}")</f>
        <v>{"url":"https://us.pandora.net/on/demandware.static/-/Sites-pandora-master-catalog/default/dwbb259ca6/productimages/singlepackshot/794241C01_RGB.png","mode":1}</v>
      </c>
      <c r="D3400" s="5" t="str">
        <f ca="1">IFERROR(ROWSDUMMYFUNCTION(IF(A3400="","",CONCATENATE("https://us.pandora.net/on/demandware.static/-/Sites-pandora-master-catalog/default/dwbb259ca6/productimages/singlepackshot/",LEFT(A3400,FIND("-",A3400&amp;"-")-1),"_RGB.png"))),"https://us.pandora.net/on/demandware.static/-/Sites-pandora-master-catalog/default/dwbb259ca6/productimages/singlepackshot/794241C01_RGB.png")</f>
        <v>https://us.pandora.net/on/demandware.static/-/Sites-pandora-master-catalog/default/dwbb259ca6/productimages/singlepackshot/794241C01_RGB.png</v>
      </c>
    </row>
    <row r="3401" spans="1:4" x14ac:dyDescent="0.25">
      <c r="A3401" s="3" t="s">
        <v>3403</v>
      </c>
      <c r="B3401" s="4">
        <v>59</v>
      </c>
      <c r="C3401" s="3" t="str">
        <f ca="1">IFERROR(ROWSDUMMYFUNCTION(IF(A3401="","",IFERROR(IMAGE(CONCATENATE("https://us.pandora.net/on/demandware.static/-/Sites-pandora-master-catalog/default/dwbb259ca6/productimages/singlepackshot/",LEFT(A3401,FIND("-",A3401&amp;"-")-1),"_RGB.png")),""))),"{""url"":""https://us.pandora.net/on/demandware.static/-/Sites-pandora-master-catalog/default/dwbb259ca6/productimages/singlepackshot/794243C01_RGB.png"",""mode"":1}")</f>
        <v>{"url":"https://us.pandora.net/on/demandware.static/-/Sites-pandora-master-catalog/default/dwbb259ca6/productimages/singlepackshot/794243C01_RGB.png","mode":1}</v>
      </c>
      <c r="D3401" s="5" t="str">
        <f ca="1">IFERROR(ROWSDUMMYFUNCTION(IF(A3401="","",CONCATENATE("https://us.pandora.net/on/demandware.static/-/Sites-pandora-master-catalog/default/dwbb259ca6/productimages/singlepackshot/",LEFT(A3401,FIND("-",A3401&amp;"-")-1),"_RGB.png"))),"https://us.pandora.net/on/demandware.static/-/Sites-pandora-master-catalog/default/dwbb259ca6/productimages/singlepackshot/794243C01_RGB.png")</f>
        <v>https://us.pandora.net/on/demandware.static/-/Sites-pandora-master-catalog/default/dwbb259ca6/productimages/singlepackshot/794243C01_RGB.png</v>
      </c>
    </row>
    <row r="3402" spans="1:4" x14ac:dyDescent="0.25">
      <c r="A3402" s="3" t="s">
        <v>3404</v>
      </c>
      <c r="B3402" s="4">
        <v>69</v>
      </c>
      <c r="C3402" s="3" t="str">
        <f ca="1">IFERROR(ROWSDUMMYFUNCTION(IF(A3402="","",IFERROR(IMAGE(CONCATENATE("https://us.pandora.net/on/demandware.static/-/Sites-pandora-master-catalog/default/dwbb259ca6/productimages/singlepackshot/",LEFT(A3402,FIND("-",A3402&amp;"-")-1),"_RGB.png")),""))),"{""url"":""https://us.pandora.net/on/demandware.static/-/Sites-pandora-master-catalog/default/dwbb259ca6/productimages/singlepackshot/794244C01_RGB.png"",""mode"":1}")</f>
        <v>{"url":"https://us.pandora.net/on/demandware.static/-/Sites-pandora-master-catalog/default/dwbb259ca6/productimages/singlepackshot/794244C01_RGB.png","mode":1}</v>
      </c>
      <c r="D3402" s="5" t="str">
        <f ca="1">IFERROR(ROWSDUMMYFUNCTION(IF(A3402="","",CONCATENATE("https://us.pandora.net/on/demandware.static/-/Sites-pandora-master-catalog/default/dwbb259ca6/productimages/singlepackshot/",LEFT(A3402,FIND("-",A3402&amp;"-")-1),"_RGB.png"))),"https://us.pandora.net/on/demandware.static/-/Sites-pandora-master-catalog/default/dwbb259ca6/productimages/singlepackshot/794244C01_RGB.png")</f>
        <v>https://us.pandora.net/on/demandware.static/-/Sites-pandora-master-catalog/default/dwbb259ca6/productimages/singlepackshot/794244C01_RGB.png</v>
      </c>
    </row>
    <row r="3403" spans="1:4" x14ac:dyDescent="0.25">
      <c r="A3403" s="3" t="s">
        <v>3405</v>
      </c>
      <c r="B3403" s="4">
        <v>39</v>
      </c>
      <c r="C3403" s="3" t="str">
        <f ca="1">IFERROR(ROWSDUMMYFUNCTION(IF(A3403="","",IFERROR(IMAGE(CONCATENATE("https://us.pandora.net/on/demandware.static/-/Sites-pandora-master-catalog/default/dwbb259ca6/productimages/singlepackshot/",LEFT(A3403,FIND("-",A3403&amp;"-")-1),"_RGB.png")),""))),"{""url"":""https://us.pandora.net/on/demandware.static/-/Sites-pandora-master-catalog/default/dwbb259ca6/productimages/singlepackshot/794245C01_RGB.png"",""mode"":1}")</f>
        <v>{"url":"https://us.pandora.net/on/demandware.static/-/Sites-pandora-master-catalog/default/dwbb259ca6/productimages/singlepackshot/794245C01_RGB.png","mode":1}</v>
      </c>
      <c r="D3403" s="5" t="str">
        <f ca="1">IFERROR(ROWSDUMMYFUNCTION(IF(A3403="","",CONCATENATE("https://us.pandora.net/on/demandware.static/-/Sites-pandora-master-catalog/default/dwbb259ca6/productimages/singlepackshot/",LEFT(A3403,FIND("-",A3403&amp;"-")-1),"_RGB.png"))),"https://us.pandora.net/on/demandware.static/-/Sites-pandora-master-catalog/default/dwbb259ca6/productimages/singlepackshot/794245C01_RGB.png")</f>
        <v>https://us.pandora.net/on/demandware.static/-/Sites-pandora-master-catalog/default/dwbb259ca6/productimages/singlepackshot/794245C01_RGB.png</v>
      </c>
    </row>
    <row r="3404" spans="1:4" x14ac:dyDescent="0.25">
      <c r="A3404" s="3" t="s">
        <v>3406</v>
      </c>
      <c r="B3404" s="4">
        <v>59</v>
      </c>
      <c r="C3404" s="3" t="str">
        <f ca="1">IFERROR(ROWSDUMMYFUNCTION(IF(A3404="","",IFERROR(IMAGE(CONCATENATE("https://us.pandora.net/on/demandware.static/-/Sites-pandora-master-catalog/default/dwbb259ca6/productimages/singlepackshot/",LEFT(A3404,FIND("-",A3404&amp;"-")-1),"_RGB.png")),""))),"{""url"":""https://us.pandora.net/on/demandware.static/-/Sites-pandora-master-catalog/default/dwbb259ca6/productimages/singlepackshot/794246C01_RGB.png"",""mode"":1}")</f>
        <v>{"url":"https://us.pandora.net/on/demandware.static/-/Sites-pandora-master-catalog/default/dwbb259ca6/productimages/singlepackshot/794246C01_RGB.png","mode":1}</v>
      </c>
      <c r="D3404" s="5" t="str">
        <f ca="1">IFERROR(ROWSDUMMYFUNCTION(IF(A3404="","",CONCATENATE("https://us.pandora.net/on/demandware.static/-/Sites-pandora-master-catalog/default/dwbb259ca6/productimages/singlepackshot/",LEFT(A3404,FIND("-",A3404&amp;"-")-1),"_RGB.png"))),"https://us.pandora.net/on/demandware.static/-/Sites-pandora-master-catalog/default/dwbb259ca6/productimages/singlepackshot/794246C01_RGB.png")</f>
        <v>https://us.pandora.net/on/demandware.static/-/Sites-pandora-master-catalog/default/dwbb259ca6/productimages/singlepackshot/794246C01_RGB.png</v>
      </c>
    </row>
    <row r="3405" spans="1:4" x14ac:dyDescent="0.25">
      <c r="A3405" s="3" t="s">
        <v>3407</v>
      </c>
      <c r="B3405" s="4">
        <v>59</v>
      </c>
      <c r="C3405" s="3" t="str">
        <f ca="1">IFERROR(ROWSDUMMYFUNCTION(IF(A3405="","",IFERROR(IMAGE(CONCATENATE("https://us.pandora.net/on/demandware.static/-/Sites-pandora-master-catalog/default/dwbb259ca6/productimages/singlepackshot/",LEFT(A3405,FIND("-",A3405&amp;"-")-1),"_RGB.png")),""))),"{""url"":""https://us.pandora.net/on/demandware.static/-/Sites-pandora-master-catalog/default/dwbb259ca6/productimages/singlepackshot/794247C01_RGB.png"",""mode"":1}")</f>
        <v>{"url":"https://us.pandora.net/on/demandware.static/-/Sites-pandora-master-catalog/default/dwbb259ca6/productimages/singlepackshot/794247C01_RGB.png","mode":1}</v>
      </c>
      <c r="D3405" s="5" t="str">
        <f ca="1">IFERROR(ROWSDUMMYFUNCTION(IF(A3405="","",CONCATENATE("https://us.pandora.net/on/demandware.static/-/Sites-pandora-master-catalog/default/dwbb259ca6/productimages/singlepackshot/",LEFT(A3405,FIND("-",A3405&amp;"-")-1),"_RGB.png"))),"https://us.pandora.net/on/demandware.static/-/Sites-pandora-master-catalog/default/dwbb259ca6/productimages/singlepackshot/794247C01_RGB.png")</f>
        <v>https://us.pandora.net/on/demandware.static/-/Sites-pandora-master-catalog/default/dwbb259ca6/productimages/singlepackshot/794247C01_RGB.png</v>
      </c>
    </row>
    <row r="3406" spans="1:4" x14ac:dyDescent="0.25">
      <c r="A3406" s="3" t="s">
        <v>3408</v>
      </c>
      <c r="B3406" s="4">
        <v>29</v>
      </c>
      <c r="C3406" s="3" t="str">
        <f ca="1">IFERROR(ROWSDUMMYFUNCTION(IF(A3406="","",IFERROR(IMAGE(CONCATENATE("https://us.pandora.net/on/demandware.static/-/Sites-pandora-master-catalog/default/dwbb259ca6/productimages/singlepackshot/",LEFT(A3406,FIND("-",A3406&amp;"-")-1),"_RGB.png")),""))),"{""url"":""https://us.pandora.net/on/demandware.static/-/Sites-pandora-master-catalog/default/dwbb259ca6/productimages/singlepackshot/794249C01_RGB.png"",""mode"":1}")</f>
        <v>{"url":"https://us.pandora.net/on/demandware.static/-/Sites-pandora-master-catalog/default/dwbb259ca6/productimages/singlepackshot/794249C01_RGB.png","mode":1}</v>
      </c>
      <c r="D3406" s="5" t="str">
        <f ca="1">IFERROR(ROWSDUMMYFUNCTION(IF(A3406="","",CONCATENATE("https://us.pandora.net/on/demandware.static/-/Sites-pandora-master-catalog/default/dwbb259ca6/productimages/singlepackshot/",LEFT(A3406,FIND("-",A3406&amp;"-")-1),"_RGB.png"))),"https://us.pandora.net/on/demandware.static/-/Sites-pandora-master-catalog/default/dwbb259ca6/productimages/singlepackshot/794249C01_RGB.png")</f>
        <v>https://us.pandora.net/on/demandware.static/-/Sites-pandora-master-catalog/default/dwbb259ca6/productimages/singlepackshot/794249C01_RGB.png</v>
      </c>
    </row>
    <row r="3407" spans="1:4" x14ac:dyDescent="0.25">
      <c r="A3407" s="3" t="s">
        <v>3409</v>
      </c>
      <c r="B3407" s="4">
        <v>29</v>
      </c>
      <c r="C3407" s="3" t="str">
        <f ca="1">IFERROR(ROWSDUMMYFUNCTION(IF(A3407="","",IFERROR(IMAGE(CONCATENATE("https://us.pandora.net/on/demandware.static/-/Sites-pandora-master-catalog/default/dwbb259ca6/productimages/singlepackshot/",LEFT(A3407,FIND("-",A3407&amp;"-")-1),"_RGB.png")),""))),"{""url"":""https://us.pandora.net/on/demandware.static/-/Sites-pandora-master-catalog/default/dwbb259ca6/productimages/singlepackshot/794250C01_RGB.png"",""mode"":1}")</f>
        <v>{"url":"https://us.pandora.net/on/demandware.static/-/Sites-pandora-master-catalog/default/dwbb259ca6/productimages/singlepackshot/794250C01_RGB.png","mode":1}</v>
      </c>
      <c r="D3407" s="5" t="str">
        <f ca="1">IFERROR(ROWSDUMMYFUNCTION(IF(A3407="","",CONCATENATE("https://us.pandora.net/on/demandware.static/-/Sites-pandora-master-catalog/default/dwbb259ca6/productimages/singlepackshot/",LEFT(A3407,FIND("-",A3407&amp;"-")-1),"_RGB.png"))),"https://us.pandora.net/on/demandware.static/-/Sites-pandora-master-catalog/default/dwbb259ca6/productimages/singlepackshot/794250C01_RGB.png")</f>
        <v>https://us.pandora.net/on/demandware.static/-/Sites-pandora-master-catalog/default/dwbb259ca6/productimages/singlepackshot/794250C01_RGB.png</v>
      </c>
    </row>
    <row r="3408" spans="1:4" x14ac:dyDescent="0.25">
      <c r="A3408" s="3" t="s">
        <v>3410</v>
      </c>
      <c r="B3408" s="4">
        <v>69</v>
      </c>
      <c r="C3408" s="3" t="str">
        <f ca="1">IFERROR(ROWSDUMMYFUNCTION(IF(A3408="","",IFERROR(IMAGE(CONCATENATE("https://us.pandora.net/on/demandware.static/-/Sites-pandora-master-catalog/default/dwbb259ca6/productimages/singlepackshot/",LEFT(A3408,FIND("-",A3408&amp;"-")-1),"_RGB.png")),""))),"{""url"":""https://us.pandora.net/on/demandware.static/-/Sites-pandora-master-catalog/default/dwbb259ca6/productimages/singlepackshot/794251C01_RGB.png"",""mode"":1}")</f>
        <v>{"url":"https://us.pandora.net/on/demandware.static/-/Sites-pandora-master-catalog/default/dwbb259ca6/productimages/singlepackshot/794251C01_RGB.png","mode":1}</v>
      </c>
      <c r="D3408" s="5" t="str">
        <f ca="1">IFERROR(ROWSDUMMYFUNCTION(IF(A3408="","",CONCATENATE("https://us.pandora.net/on/demandware.static/-/Sites-pandora-master-catalog/default/dwbb259ca6/productimages/singlepackshot/",LEFT(A3408,FIND("-",A3408&amp;"-")-1),"_RGB.png"))),"https://us.pandora.net/on/demandware.static/-/Sites-pandora-master-catalog/default/dwbb259ca6/productimages/singlepackshot/794251C01_RGB.png")</f>
        <v>https://us.pandora.net/on/demandware.static/-/Sites-pandora-master-catalog/default/dwbb259ca6/productimages/singlepackshot/794251C01_RGB.png</v>
      </c>
    </row>
    <row r="3409" spans="1:4" x14ac:dyDescent="0.25">
      <c r="A3409" s="3" t="s">
        <v>3411</v>
      </c>
      <c r="B3409" s="4">
        <v>49</v>
      </c>
      <c r="C3409" s="3" t="str">
        <f ca="1">IFERROR(ROWSDUMMYFUNCTION(IF(A3409="","",IFERROR(IMAGE(CONCATENATE("https://us.pandora.net/on/demandware.static/-/Sites-pandora-master-catalog/default/dwbb259ca6/productimages/singlepackshot/",LEFT(A3409,FIND("-",A3409&amp;"-")-1),"_RGB.png")),""))),"{""url"":""https://us.pandora.net/on/demandware.static/-/Sites-pandora-master-catalog/default/dwbb259ca6/productimages/singlepackshot/794252C01_RGB.png"",""mode"":1}")</f>
        <v>{"url":"https://us.pandora.net/on/demandware.static/-/Sites-pandora-master-catalog/default/dwbb259ca6/productimages/singlepackshot/794252C01_RGB.png","mode":1}</v>
      </c>
      <c r="D3409" s="5" t="str">
        <f ca="1">IFERROR(ROWSDUMMYFUNCTION(IF(A3409="","",CONCATENATE("https://us.pandora.net/on/demandware.static/-/Sites-pandora-master-catalog/default/dwbb259ca6/productimages/singlepackshot/",LEFT(A3409,FIND("-",A3409&amp;"-")-1),"_RGB.png"))),"https://us.pandora.net/on/demandware.static/-/Sites-pandora-master-catalog/default/dwbb259ca6/productimages/singlepackshot/794252C01_RGB.png")</f>
        <v>https://us.pandora.net/on/demandware.static/-/Sites-pandora-master-catalog/default/dwbb259ca6/productimages/singlepackshot/794252C01_RGB.png</v>
      </c>
    </row>
    <row r="3410" spans="1:4" x14ac:dyDescent="0.25">
      <c r="A3410" s="3" t="s">
        <v>3412</v>
      </c>
      <c r="B3410" s="4">
        <v>69</v>
      </c>
      <c r="C3410" s="3" t="str">
        <f ca="1">IFERROR(ROWSDUMMYFUNCTION(IF(A3410="","",IFERROR(IMAGE(CONCATENATE("https://us.pandora.net/on/demandware.static/-/Sites-pandora-master-catalog/default/dwbb259ca6/productimages/singlepackshot/",LEFT(A3410,FIND("-",A3410&amp;"-")-1),"_RGB.png")),""))),"{""url"":""https://us.pandora.net/on/demandware.static/-/Sites-pandora-master-catalog/default/dwbb259ca6/productimages/singlepackshot/794253C01_RGB.png"",""mode"":1}")</f>
        <v>{"url":"https://us.pandora.net/on/demandware.static/-/Sites-pandora-master-catalog/default/dwbb259ca6/productimages/singlepackshot/794253C01_RGB.png","mode":1}</v>
      </c>
      <c r="D3410" s="5" t="str">
        <f ca="1">IFERROR(ROWSDUMMYFUNCTION(IF(A3410="","",CONCATENATE("https://us.pandora.net/on/demandware.static/-/Sites-pandora-master-catalog/default/dwbb259ca6/productimages/singlepackshot/",LEFT(A3410,FIND("-",A3410&amp;"-")-1),"_RGB.png"))),"https://us.pandora.net/on/demandware.static/-/Sites-pandora-master-catalog/default/dwbb259ca6/productimages/singlepackshot/794253C01_RGB.png")</f>
        <v>https://us.pandora.net/on/demandware.static/-/Sites-pandora-master-catalog/default/dwbb259ca6/productimages/singlepackshot/794253C01_RGB.png</v>
      </c>
    </row>
    <row r="3411" spans="1:4" x14ac:dyDescent="0.25">
      <c r="A3411" s="3" t="s">
        <v>3413</v>
      </c>
      <c r="B3411" s="4">
        <v>49</v>
      </c>
      <c r="C3411" s="3" t="str">
        <f ca="1">IFERROR(ROWSDUMMYFUNCTION(IF(A3411="","",IFERROR(IMAGE(CONCATENATE("https://us.pandora.net/on/demandware.static/-/Sites-pandora-master-catalog/default/dwbb259ca6/productimages/singlepackshot/",LEFT(A3411,FIND("-",A3411&amp;"-")-1),"_RGB.png")),""))),"{""url"":""https://us.pandora.net/on/demandware.static/-/Sites-pandora-master-catalog/default/dwbb259ca6/productimages/singlepackshot/794254C01_RGB.png"",""mode"":1}")</f>
        <v>{"url":"https://us.pandora.net/on/demandware.static/-/Sites-pandora-master-catalog/default/dwbb259ca6/productimages/singlepackshot/794254C01_RGB.png","mode":1}</v>
      </c>
      <c r="D3411" s="5" t="str">
        <f ca="1">IFERROR(ROWSDUMMYFUNCTION(IF(A3411="","",CONCATENATE("https://us.pandora.net/on/demandware.static/-/Sites-pandora-master-catalog/default/dwbb259ca6/productimages/singlepackshot/",LEFT(A3411,FIND("-",A3411&amp;"-")-1),"_RGB.png"))),"https://us.pandora.net/on/demandware.static/-/Sites-pandora-master-catalog/default/dwbb259ca6/productimages/singlepackshot/794254C01_RGB.png")</f>
        <v>https://us.pandora.net/on/demandware.static/-/Sites-pandora-master-catalog/default/dwbb259ca6/productimages/singlepackshot/794254C01_RGB.png</v>
      </c>
    </row>
    <row r="3412" spans="1:4" x14ac:dyDescent="0.25">
      <c r="A3412" s="3" t="s">
        <v>3414</v>
      </c>
      <c r="B3412" s="4">
        <v>69</v>
      </c>
      <c r="C3412" s="3" t="str">
        <f ca="1">IFERROR(ROWSDUMMYFUNCTION(IF(A3412="","",IFERROR(IMAGE(CONCATENATE("https://us.pandora.net/on/demandware.static/-/Sites-pandora-master-catalog/default/dwbb259ca6/productimages/singlepackshot/",LEFT(A3412,FIND("-",A3412&amp;"-")-1),"_RGB.png")),""))),"{""url"":""https://us.pandora.net/on/demandware.static/-/Sites-pandora-master-catalog/default/dwbb259ca6/productimages/singlepackshot/794272C01_RGB.png"",""mode"":1}")</f>
        <v>{"url":"https://us.pandora.net/on/demandware.static/-/Sites-pandora-master-catalog/default/dwbb259ca6/productimages/singlepackshot/794272C01_RGB.png","mode":1}</v>
      </c>
      <c r="D3412" s="5" t="str">
        <f ca="1">IFERROR(ROWSDUMMYFUNCTION(IF(A3412="","",CONCATENATE("https://us.pandora.net/on/demandware.static/-/Sites-pandora-master-catalog/default/dwbb259ca6/productimages/singlepackshot/",LEFT(A3412,FIND("-",A3412&amp;"-")-1),"_RGB.png"))),"https://us.pandora.net/on/demandware.static/-/Sites-pandora-master-catalog/default/dwbb259ca6/productimages/singlepackshot/794272C01_RGB.png")</f>
        <v>https://us.pandora.net/on/demandware.static/-/Sites-pandora-master-catalog/default/dwbb259ca6/productimages/singlepackshot/794272C01_RGB.png</v>
      </c>
    </row>
    <row r="3413" spans="1:4" x14ac:dyDescent="0.25">
      <c r="A3413" s="3" t="s">
        <v>3415</v>
      </c>
      <c r="B3413" s="4">
        <v>59</v>
      </c>
      <c r="C3413" s="3" t="str">
        <f ca="1">IFERROR(ROWSDUMMYFUNCTION(IF(A3413="","",IFERROR(IMAGE(CONCATENATE("https://us.pandora.net/on/demandware.static/-/Sites-pandora-master-catalog/default/dwbb259ca6/productimages/singlepackshot/",LEFT(A3413,FIND("-",A3413&amp;"-")-1),"_RGB.png")),""))),"{""url"":""https://us.pandora.net/on/demandware.static/-/Sites-pandora-master-catalog/default/dwbb259ca6/productimages/singlepackshot/794294C01_RGB.png"",""mode"":1}")</f>
        <v>{"url":"https://us.pandora.net/on/demandware.static/-/Sites-pandora-master-catalog/default/dwbb259ca6/productimages/singlepackshot/794294C01_RGB.png","mode":1}</v>
      </c>
      <c r="D3413" s="5" t="str">
        <f ca="1">IFERROR(ROWSDUMMYFUNCTION(IF(A3413="","",CONCATENATE("https://us.pandora.net/on/demandware.static/-/Sites-pandora-master-catalog/default/dwbb259ca6/productimages/singlepackshot/",LEFT(A3413,FIND("-",A3413&amp;"-")-1),"_RGB.png"))),"https://us.pandora.net/on/demandware.static/-/Sites-pandora-master-catalog/default/dwbb259ca6/productimages/singlepackshot/794294C01_RGB.png")</f>
        <v>https://us.pandora.net/on/demandware.static/-/Sites-pandora-master-catalog/default/dwbb259ca6/productimages/singlepackshot/794294C01_RGB.png</v>
      </c>
    </row>
    <row r="3414" spans="1:4" x14ac:dyDescent="0.25">
      <c r="A3414" s="3" t="s">
        <v>3416</v>
      </c>
      <c r="B3414" s="4">
        <v>49</v>
      </c>
      <c r="C3414" s="3" t="str">
        <f ca="1">IFERROR(ROWSDUMMYFUNCTION(IF(A3414="","",IFERROR(IMAGE(CONCATENATE("https://us.pandora.net/on/demandware.static/-/Sites-pandora-master-catalog/default/dwbb259ca6/productimages/singlepackshot/",LEFT(A3414,FIND("-",A3414&amp;"-")-1),"_RGB.png")),""))),"{""url"":""https://us.pandora.net/on/demandware.static/-/Sites-pandora-master-catalog/default/dwbb259ca6/productimages/singlepackshot/794295C03_RGB.png"",""mode"":1}")</f>
        <v>{"url":"https://us.pandora.net/on/demandware.static/-/Sites-pandora-master-catalog/default/dwbb259ca6/productimages/singlepackshot/794295C03_RGB.png","mode":1}</v>
      </c>
      <c r="D3414" s="5" t="str">
        <f ca="1">IFERROR(ROWSDUMMYFUNCTION(IF(A3414="","",CONCATENATE("https://us.pandora.net/on/demandware.static/-/Sites-pandora-master-catalog/default/dwbb259ca6/productimages/singlepackshot/",LEFT(A3414,FIND("-",A3414&amp;"-")-1),"_RGB.png"))),"https://us.pandora.net/on/demandware.static/-/Sites-pandora-master-catalog/default/dwbb259ca6/productimages/singlepackshot/794295C03_RGB.png")</f>
        <v>https://us.pandora.net/on/demandware.static/-/Sites-pandora-master-catalog/default/dwbb259ca6/productimages/singlepackshot/794295C03_RGB.png</v>
      </c>
    </row>
    <row r="3415" spans="1:4" x14ac:dyDescent="0.25">
      <c r="A3415" s="3" t="s">
        <v>3417</v>
      </c>
      <c r="B3415" s="4">
        <v>79</v>
      </c>
      <c r="C3415" s="3" t="str">
        <f ca="1">IFERROR(ROWSDUMMYFUNCTION(IF(A3415="","",IFERROR(IMAGE(CONCATENATE("https://us.pandora.net/on/demandware.static/-/Sites-pandora-master-catalog/default/dwbb259ca6/productimages/singlepackshot/",LEFT(A3415,FIND("-",A3415&amp;"-")-1),"_RGB.png")),""))),"{""url"":""https://us.pandora.net/on/demandware.static/-/Sites-pandora-master-catalog/default/dwbb259ca6/productimages/singlepackshot/794377C01_RGB.png"",""mode"":1}")</f>
        <v>{"url":"https://us.pandora.net/on/demandware.static/-/Sites-pandora-master-catalog/default/dwbb259ca6/productimages/singlepackshot/794377C01_RGB.png","mode":1}</v>
      </c>
      <c r="D3415" s="5" t="str">
        <f ca="1">IFERROR(ROWSDUMMYFUNCTION(IF(A3415="","",CONCATENATE("https://us.pandora.net/on/demandware.static/-/Sites-pandora-master-catalog/default/dwbb259ca6/productimages/singlepackshot/",LEFT(A3415,FIND("-",A3415&amp;"-")-1),"_RGB.png"))),"https://us.pandora.net/on/demandware.static/-/Sites-pandora-master-catalog/default/dwbb259ca6/productimages/singlepackshot/794377C01_RGB.png")</f>
        <v>https://us.pandora.net/on/demandware.static/-/Sites-pandora-master-catalog/default/dwbb259ca6/productimages/singlepackshot/794377C01_RGB.png</v>
      </c>
    </row>
    <row r="3416" spans="1:4" x14ac:dyDescent="0.25">
      <c r="A3416" s="3" t="s">
        <v>3418</v>
      </c>
      <c r="B3416" s="4">
        <v>39</v>
      </c>
      <c r="C3416" s="3" t="str">
        <f ca="1">IFERROR(ROWSDUMMYFUNCTION(IF(A3416="","",IFERROR(IMAGE(CONCATENATE("https://us.pandora.net/on/demandware.static/-/Sites-pandora-master-catalog/default/dwbb259ca6/productimages/singlepackshot/",LEFT(A3416,FIND("-",A3416&amp;"-")-1),"_RGB.png")),""))),"{""url"":""https://us.pandora.net/on/demandware.static/-/Sites-pandora-master-catalog/default/dwbb259ca6/productimages/singlepackshot/796261PCZ_RGB.png"",""mode"":1}")</f>
        <v>{"url":"https://us.pandora.net/on/demandware.static/-/Sites-pandora-master-catalog/default/dwbb259ca6/productimages/singlepackshot/796261PCZ_RGB.png","mode":1}</v>
      </c>
      <c r="D3416" s="5" t="str">
        <f ca="1">IFERROR(ROWSDUMMYFUNCTION(IF(A3416="","",CONCATENATE("https://us.pandora.net/on/demandware.static/-/Sites-pandora-master-catalog/default/dwbb259ca6/productimages/singlepackshot/",LEFT(A3416,FIND("-",A3416&amp;"-")-1),"_RGB.png"))),"https://us.pandora.net/on/demandware.static/-/Sites-pandora-master-catalog/default/dwbb259ca6/productimages/singlepackshot/796261PCZ_RGB.png")</f>
        <v>https://us.pandora.net/on/demandware.static/-/Sites-pandora-master-catalog/default/dwbb259ca6/productimages/singlepackshot/796261PCZ_RGB.png</v>
      </c>
    </row>
    <row r="3417" spans="1:4" x14ac:dyDescent="0.25">
      <c r="A3417" s="3" t="s">
        <v>3419</v>
      </c>
      <c r="B3417" s="4">
        <v>45</v>
      </c>
      <c r="C3417" s="3" t="str">
        <f ca="1">IFERROR(ROWSDUMMYFUNCTION(IF(A3417="","",IFERROR(IMAGE(CONCATENATE("https://us.pandora.net/on/demandware.static/-/Sites-pandora-master-catalog/default/dwbb259ca6/productimages/singlepackshot/",LEFT(A3417,FIND("-",A3417&amp;"-")-1),"_RGB.png")),""))),"{""url"":""https://us.pandora.net/on/demandware.static/-/Sites-pandora-master-catalog/default/dwbb259ca6/productimages/singlepackshot/796457CZ_RGB.png"",""mode"":1}")</f>
        <v>{"url":"https://us.pandora.net/on/demandware.static/-/Sites-pandora-master-catalog/default/dwbb259ca6/productimages/singlepackshot/796457CZ_RGB.png","mode":1}</v>
      </c>
      <c r="D3417" s="5" t="str">
        <f ca="1">IFERROR(ROWSDUMMYFUNCTION(IF(A3417="","",CONCATENATE("https://us.pandora.net/on/demandware.static/-/Sites-pandora-master-catalog/default/dwbb259ca6/productimages/singlepackshot/",LEFT(A3417,FIND("-",A3417&amp;"-")-1),"_RGB.png"))),"https://us.pandora.net/on/demandware.static/-/Sites-pandora-master-catalog/default/dwbb259ca6/productimages/singlepackshot/796457CZ_RGB.png")</f>
        <v>https://us.pandora.net/on/demandware.static/-/Sites-pandora-master-catalog/default/dwbb259ca6/productimages/singlepackshot/796457CZ_RGB.png</v>
      </c>
    </row>
    <row r="3418" spans="1:4" x14ac:dyDescent="0.25">
      <c r="A3418" s="3" t="s">
        <v>3420</v>
      </c>
      <c r="B3418" s="4">
        <v>39</v>
      </c>
      <c r="C3418" s="3" t="str">
        <f ca="1">IFERROR(ROWSDUMMYFUNCTION(IF(A3418="","",IFERROR(IMAGE(CONCATENATE("https://us.pandora.net/on/demandware.static/-/Sites-pandora-master-catalog/default/dwbb259ca6/productimages/singlepackshot/",LEFT(A3418,FIND("-",A3418&amp;"-")-1),"_RGB.png")),""))),"{""url"":""https://us.pandora.net/on/demandware.static/-/Sites-pandora-master-catalog/default/dwbb259ca6/productimages/singlepackshot/797012ENMX_RGB.png"",""mode"":1}")</f>
        <v>{"url":"https://us.pandora.net/on/demandware.static/-/Sites-pandora-master-catalog/default/dwbb259ca6/productimages/singlepackshot/797012ENMX_RGB.png","mode":1}</v>
      </c>
      <c r="D3418" s="5" t="str">
        <f ca="1">IFERROR(ROWSDUMMYFUNCTION(IF(A3418="","",CONCATENATE("https://us.pandora.net/on/demandware.static/-/Sites-pandora-master-catalog/default/dwbb259ca6/productimages/singlepackshot/",LEFT(A3418,FIND("-",A3418&amp;"-")-1),"_RGB.png"))),"https://us.pandora.net/on/demandware.static/-/Sites-pandora-master-catalog/default/dwbb259ca6/productimages/singlepackshot/797012ENMX_RGB.png")</f>
        <v>https://us.pandora.net/on/demandware.static/-/Sites-pandora-master-catalog/default/dwbb259ca6/productimages/singlepackshot/797012ENMX_RGB.png</v>
      </c>
    </row>
    <row r="3419" spans="1:4" x14ac:dyDescent="0.25">
      <c r="A3419" s="3" t="s">
        <v>3421</v>
      </c>
      <c r="B3419" s="4">
        <v>89</v>
      </c>
      <c r="C3419" s="3" t="str">
        <f ca="1">IFERROR(ROWSDUMMYFUNCTION(IF(A3419="","",IFERROR(IMAGE(CONCATENATE("https://us.pandora.net/on/demandware.static/-/Sites-pandora-master-catalog/default/dwbb259ca6/productimages/singlepackshot/",LEFT(A3419,FIND("-",A3419&amp;"-")-1),"_RGB.png")),""))),"{""url"":""https://us.pandora.net/on/demandware.static/-/Sites-pandora-master-catalog/default/dwbb259ca6/productimages/singlepackshot/797173CZR_RGB.png"",""mode"":1}")</f>
        <v>{"url":"https://us.pandora.net/on/demandware.static/-/Sites-pandora-master-catalog/default/dwbb259ca6/productimages/singlepackshot/797173CZR_RGB.png","mode":1}</v>
      </c>
      <c r="D3419" s="5" t="str">
        <f ca="1">IFERROR(ROWSDUMMYFUNCTION(IF(A3419="","",CONCATENATE("https://us.pandora.net/on/demandware.static/-/Sites-pandora-master-catalog/default/dwbb259ca6/productimages/singlepackshot/",LEFT(A3419,FIND("-",A3419&amp;"-")-1),"_RGB.png"))),"https://us.pandora.net/on/demandware.static/-/Sites-pandora-master-catalog/default/dwbb259ca6/productimages/singlepackshot/797173CZR_RGB.png")</f>
        <v>https://us.pandora.net/on/demandware.static/-/Sites-pandora-master-catalog/default/dwbb259ca6/productimages/singlepackshot/797173CZR_RGB.png</v>
      </c>
    </row>
    <row r="3420" spans="1:4" x14ac:dyDescent="0.25">
      <c r="A3420" s="3" t="s">
        <v>3422</v>
      </c>
      <c r="B3420" s="4">
        <v>39</v>
      </c>
      <c r="C3420" s="3" t="str">
        <f ca="1">IFERROR(ROWSDUMMYFUNCTION(IF(A3420="","",IFERROR(IMAGE(CONCATENATE("https://us.pandora.net/on/demandware.static/-/Sites-pandora-master-catalog/default/dwbb259ca6/productimages/singlepackshot/",LEFT(A3420,FIND("-",A3420&amp;"-")-1),"_RGB.png")),""))),"{""url"":""https://us.pandora.net/on/demandware.static/-/Sites-pandora-master-catalog/default/dwbb259ca6/productimages/singlepackshot/797185EN160_RGB.png"",""mode"":1}")</f>
        <v>{"url":"https://us.pandora.net/on/demandware.static/-/Sites-pandora-master-catalog/default/dwbb259ca6/productimages/singlepackshot/797185EN160_RGB.png","mode":1}</v>
      </c>
      <c r="D3420" s="5" t="str">
        <f ca="1">IFERROR(ROWSDUMMYFUNCTION(IF(A3420="","",CONCATENATE("https://us.pandora.net/on/demandware.static/-/Sites-pandora-master-catalog/default/dwbb259ca6/productimages/singlepackshot/",LEFT(A3420,FIND("-",A3420&amp;"-")-1),"_RGB.png"))),"https://us.pandora.net/on/demandware.static/-/Sites-pandora-master-catalog/default/dwbb259ca6/productimages/singlepackshot/797185EN160_RGB.png")</f>
        <v>https://us.pandora.net/on/demandware.static/-/Sites-pandora-master-catalog/default/dwbb259ca6/productimages/singlepackshot/797185EN160_RGB.png</v>
      </c>
    </row>
    <row r="3421" spans="1:4" x14ac:dyDescent="0.25">
      <c r="A3421" s="3" t="s">
        <v>3423</v>
      </c>
      <c r="B3421" s="4">
        <v>55</v>
      </c>
      <c r="C3421" s="3" t="str">
        <f ca="1">IFERROR(ROWSDUMMYFUNCTION(IF(A3421="","",IFERROR(IMAGE(CONCATENATE("https://us.pandora.net/on/demandware.static/-/Sites-pandora-master-catalog/default/dwbb259ca6/productimages/singlepackshot/",LEFT(A3421,FIND("-",A3421&amp;"-")-1),"_RGB.png")),""))),"{""url"":""https://us.pandora.net/on/demandware.static/-/Sites-pandora-master-catalog/default/dwbb259ca6/productimages/singlepackshot/797200_RGB.png"",""mode"":1}")</f>
        <v>{"url":"https://us.pandora.net/on/demandware.static/-/Sites-pandora-master-catalog/default/dwbb259ca6/productimages/singlepackshot/797200_RGB.png","mode":1}</v>
      </c>
      <c r="D3421" s="5" t="str">
        <f ca="1">IFERROR(ROWSDUMMYFUNCTION(IF(A3421="","",CONCATENATE("https://us.pandora.net/on/demandware.static/-/Sites-pandora-master-catalog/default/dwbb259ca6/productimages/singlepackshot/",LEFT(A3421,FIND("-",A3421&amp;"-")-1),"_RGB.png"))),"https://us.pandora.net/on/demandware.static/-/Sites-pandora-master-catalog/default/dwbb259ca6/productimages/singlepackshot/797200_RGB.png")</f>
        <v>https://us.pandora.net/on/demandware.static/-/Sites-pandora-master-catalog/default/dwbb259ca6/productimages/singlepackshot/797200_RGB.png</v>
      </c>
    </row>
    <row r="3422" spans="1:4" x14ac:dyDescent="0.25">
      <c r="A3422" s="3" t="s">
        <v>3424</v>
      </c>
      <c r="B3422" s="4">
        <v>49</v>
      </c>
      <c r="C3422" s="3" t="str">
        <f ca="1">IFERROR(ROWSDUMMYFUNCTION(IF(A3422="","",IFERROR(IMAGE(CONCATENATE("https://us.pandora.net/on/demandware.static/-/Sites-pandora-master-catalog/default/dwbb259ca6/productimages/singlepackshot/",LEFT(A3422,FIND("-",A3422&amp;"-")-1),"_RGB.png")),""))),"{""url"":""https://us.pandora.net/on/demandware.static/-/Sites-pandora-master-catalog/default/dwbb259ca6/productimages/singlepackshot/797261CZ_RGB.png"",""mode"":1}")</f>
        <v>{"url":"https://us.pandora.net/on/demandware.static/-/Sites-pandora-master-catalog/default/dwbb259ca6/productimages/singlepackshot/797261CZ_RGB.png","mode":1}</v>
      </c>
      <c r="D3422" s="5" t="str">
        <f ca="1">IFERROR(ROWSDUMMYFUNCTION(IF(A3422="","",CONCATENATE("https://us.pandora.net/on/demandware.static/-/Sites-pandora-master-catalog/default/dwbb259ca6/productimages/singlepackshot/",LEFT(A3422,FIND("-",A3422&amp;"-")-1),"_RGB.png"))),"https://us.pandora.net/on/demandware.static/-/Sites-pandora-master-catalog/default/dwbb259ca6/productimages/singlepackshot/797261CZ_RGB.png")</f>
        <v>https://us.pandora.net/on/demandware.static/-/Sites-pandora-master-catalog/default/dwbb259ca6/productimages/singlepackshot/797261CZ_RGB.png</v>
      </c>
    </row>
    <row r="3423" spans="1:4" x14ac:dyDescent="0.25">
      <c r="A3423" s="3" t="s">
        <v>3425</v>
      </c>
      <c r="B3423" s="4">
        <v>49</v>
      </c>
      <c r="C3423" s="3" t="str">
        <f ca="1">IFERROR(ROWSDUMMYFUNCTION(IF(A3423="","",IFERROR(IMAGE(CONCATENATE("https://us.pandora.net/on/demandware.static/-/Sites-pandora-master-catalog/default/dwbb259ca6/productimages/singlepackshot/",LEFT(A3423,FIND("-",A3423&amp;"-")-1),"_RGB.png")),""))),"{""url"":""https://us.pandora.net/on/demandware.static/-/Sites-pandora-master-catalog/default/dwbb259ca6/productimages/singlepackshot/797262CZ_RGB.png"",""mode"":1}")</f>
        <v>{"url":"https://us.pandora.net/on/demandware.static/-/Sites-pandora-master-catalog/default/dwbb259ca6/productimages/singlepackshot/797262CZ_RGB.png","mode":1}</v>
      </c>
      <c r="D3423" s="5" t="str">
        <f ca="1">IFERROR(ROWSDUMMYFUNCTION(IF(A3423="","",CONCATENATE("https://us.pandora.net/on/demandware.static/-/Sites-pandora-master-catalog/default/dwbb259ca6/productimages/singlepackshot/",LEFT(A3423,FIND("-",A3423&amp;"-")-1),"_RGB.png"))),"https://us.pandora.net/on/demandware.static/-/Sites-pandora-master-catalog/default/dwbb259ca6/productimages/singlepackshot/797262CZ_RGB.png")</f>
        <v>https://us.pandora.net/on/demandware.static/-/Sites-pandora-master-catalog/default/dwbb259ca6/productimages/singlepackshot/797262CZ_RGB.png</v>
      </c>
    </row>
    <row r="3424" spans="1:4" x14ac:dyDescent="0.25">
      <c r="A3424" s="3" t="s">
        <v>3426</v>
      </c>
      <c r="B3424" s="4">
        <v>49</v>
      </c>
      <c r="C3424" s="3" t="str">
        <f ca="1">IFERROR(ROWSDUMMYFUNCTION(IF(A3424="","",IFERROR(IMAGE(CONCATENATE("https://us.pandora.net/on/demandware.static/-/Sites-pandora-master-catalog/default/dwbb259ca6/productimages/singlepackshot/",LEFT(A3424,FIND("-",A3424&amp;"-")-1),"_RGB.png")),""))),"{""url"":""https://us.pandora.net/on/demandware.static/-/Sites-pandora-master-catalog/default/dwbb259ca6/productimages/singlepackshot/797263CZ_RGB.png"",""mode"":1}")</f>
        <v>{"url":"https://us.pandora.net/on/demandware.static/-/Sites-pandora-master-catalog/default/dwbb259ca6/productimages/singlepackshot/797263CZ_RGB.png","mode":1}</v>
      </c>
      <c r="D3424" s="5" t="str">
        <f ca="1">IFERROR(ROWSDUMMYFUNCTION(IF(A3424="","",CONCATENATE("https://us.pandora.net/on/demandware.static/-/Sites-pandora-master-catalog/default/dwbb259ca6/productimages/singlepackshot/",LEFT(A3424,FIND("-",A3424&amp;"-")-1),"_RGB.png"))),"https://us.pandora.net/on/demandware.static/-/Sites-pandora-master-catalog/default/dwbb259ca6/productimages/singlepackshot/797263CZ_RGB.png")</f>
        <v>https://us.pandora.net/on/demandware.static/-/Sites-pandora-master-catalog/default/dwbb259ca6/productimages/singlepackshot/797263CZ_RGB.png</v>
      </c>
    </row>
    <row r="3425" spans="1:4" x14ac:dyDescent="0.25">
      <c r="A3425" s="3" t="s">
        <v>3427</v>
      </c>
      <c r="B3425" s="4">
        <v>39</v>
      </c>
      <c r="C3425" s="3" t="str">
        <f ca="1">IFERROR(ROWSDUMMYFUNCTION(IF(A3425="","",IFERROR(IMAGE(CONCATENATE("https://us.pandora.net/on/demandware.static/-/Sites-pandora-master-catalog/default/dwbb259ca6/productimages/singlepackshot/",LEFT(A3425,FIND("-",A3425&amp;"-")-1),"_RGB.png")),""))),"{""url"":""https://us.pandora.net/on/demandware.static/-/Sites-pandora-master-catalog/default/dwbb259ca6/productimages/singlepackshot/797455_RGB.png"",""mode"":1}")</f>
        <v>{"url":"https://us.pandora.net/on/demandware.static/-/Sites-pandora-master-catalog/default/dwbb259ca6/productimages/singlepackshot/797455_RGB.png","mode":1}</v>
      </c>
      <c r="D3425" s="5" t="str">
        <f ca="1">IFERROR(ROWSDUMMYFUNCTION(IF(A3425="","",CONCATENATE("https://us.pandora.net/on/demandware.static/-/Sites-pandora-master-catalog/default/dwbb259ca6/productimages/singlepackshot/",LEFT(A3425,FIND("-",A3425&amp;"-")-1),"_RGB.png"))),"https://us.pandora.net/on/demandware.static/-/Sites-pandora-master-catalog/default/dwbb259ca6/productimages/singlepackshot/797455_RGB.png")</f>
        <v>https://us.pandora.net/on/demandware.static/-/Sites-pandora-master-catalog/default/dwbb259ca6/productimages/singlepackshot/797455_RGB.png</v>
      </c>
    </row>
    <row r="3426" spans="1:4" x14ac:dyDescent="0.25">
      <c r="A3426" s="3" t="s">
        <v>3428</v>
      </c>
      <c r="B3426" s="4">
        <v>39</v>
      </c>
      <c r="C3426" s="3" t="str">
        <f ca="1">IFERROR(ROWSDUMMYFUNCTION(IF(A3426="","",IFERROR(IMAGE(CONCATENATE("https://us.pandora.net/on/demandware.static/-/Sites-pandora-master-catalog/default/dwbb259ca6/productimages/singlepackshot/",LEFT(A3426,FIND("-",A3426&amp;"-")-1),"_RGB.png")),""))),"{""url"":""https://us.pandora.net/on/demandware.static/-/Sites-pandora-master-catalog/default/dwbb259ca6/productimages/singlepackshot/797456_RGB.png"",""mode"":1}")</f>
        <v>{"url":"https://us.pandora.net/on/demandware.static/-/Sites-pandora-master-catalog/default/dwbb259ca6/productimages/singlepackshot/797456_RGB.png","mode":1}</v>
      </c>
      <c r="D3426" s="5" t="str">
        <f ca="1">IFERROR(ROWSDUMMYFUNCTION(IF(A3426="","",CONCATENATE("https://us.pandora.net/on/demandware.static/-/Sites-pandora-master-catalog/default/dwbb259ca6/productimages/singlepackshot/",LEFT(A3426,FIND("-",A3426&amp;"-")-1),"_RGB.png"))),"https://us.pandora.net/on/demandware.static/-/Sites-pandora-master-catalog/default/dwbb259ca6/productimages/singlepackshot/797456_RGB.png")</f>
        <v>https://us.pandora.net/on/demandware.static/-/Sites-pandora-master-catalog/default/dwbb259ca6/productimages/singlepackshot/797456_RGB.png</v>
      </c>
    </row>
    <row r="3427" spans="1:4" x14ac:dyDescent="0.25">
      <c r="A3427" s="3" t="s">
        <v>3429</v>
      </c>
      <c r="B3427" s="4">
        <v>39</v>
      </c>
      <c r="C3427" s="3" t="str">
        <f ca="1">IFERROR(ROWSDUMMYFUNCTION(IF(A3427="","",IFERROR(IMAGE(CONCATENATE("https://us.pandora.net/on/demandware.static/-/Sites-pandora-master-catalog/default/dwbb259ca6/productimages/singlepackshot/",LEFT(A3427,FIND("-",A3427&amp;"-")-1),"_RGB.png")),""))),"{""url"":""https://us.pandora.net/on/demandware.static/-/Sites-pandora-master-catalog/default/dwbb259ca6/productimages/singlepackshot/797457_RGB.png"",""mode"":1}")</f>
        <v>{"url":"https://us.pandora.net/on/demandware.static/-/Sites-pandora-master-catalog/default/dwbb259ca6/productimages/singlepackshot/797457_RGB.png","mode":1}</v>
      </c>
      <c r="D3427" s="5" t="str">
        <f ca="1">IFERROR(ROWSDUMMYFUNCTION(IF(A3427="","",CONCATENATE("https://us.pandora.net/on/demandware.static/-/Sites-pandora-master-catalog/default/dwbb259ca6/productimages/singlepackshot/",LEFT(A3427,FIND("-",A3427&amp;"-")-1),"_RGB.png"))),"https://us.pandora.net/on/demandware.static/-/Sites-pandora-master-catalog/default/dwbb259ca6/productimages/singlepackshot/797457_RGB.png")</f>
        <v>https://us.pandora.net/on/demandware.static/-/Sites-pandora-master-catalog/default/dwbb259ca6/productimages/singlepackshot/797457_RGB.png</v>
      </c>
    </row>
    <row r="3428" spans="1:4" x14ac:dyDescent="0.25">
      <c r="A3428" s="3" t="s">
        <v>3430</v>
      </c>
      <c r="B3428" s="4">
        <v>39</v>
      </c>
      <c r="C3428" s="3" t="str">
        <f ca="1">IFERROR(ROWSDUMMYFUNCTION(IF(A3428="","",IFERROR(IMAGE(CONCATENATE("https://us.pandora.net/on/demandware.static/-/Sites-pandora-master-catalog/default/dwbb259ca6/productimages/singlepackshot/",LEFT(A3428,FIND("-",A3428&amp;"-")-1),"_RGB.png")),""))),"{""url"":""https://us.pandora.net/on/demandware.static/-/Sites-pandora-master-catalog/default/dwbb259ca6/productimages/singlepackshot/797458_RGB.png"",""mode"":1}")</f>
        <v>{"url":"https://us.pandora.net/on/demandware.static/-/Sites-pandora-master-catalog/default/dwbb259ca6/productimages/singlepackshot/797458_RGB.png","mode":1}</v>
      </c>
      <c r="D3428" s="5" t="str">
        <f ca="1">IFERROR(ROWSDUMMYFUNCTION(IF(A3428="","",CONCATENATE("https://us.pandora.net/on/demandware.static/-/Sites-pandora-master-catalog/default/dwbb259ca6/productimages/singlepackshot/",LEFT(A3428,FIND("-",A3428&amp;"-")-1),"_RGB.png"))),"https://us.pandora.net/on/demandware.static/-/Sites-pandora-master-catalog/default/dwbb259ca6/productimages/singlepackshot/797458_RGB.png")</f>
        <v>https://us.pandora.net/on/demandware.static/-/Sites-pandora-master-catalog/default/dwbb259ca6/productimages/singlepackshot/797458_RGB.png</v>
      </c>
    </row>
    <row r="3429" spans="1:4" x14ac:dyDescent="0.25">
      <c r="A3429" s="3" t="s">
        <v>3431</v>
      </c>
      <c r="B3429" s="4">
        <v>39</v>
      </c>
      <c r="C3429" s="3" t="str">
        <f ca="1">IFERROR(ROWSDUMMYFUNCTION(IF(A3429="","",IFERROR(IMAGE(CONCATENATE("https://us.pandora.net/on/demandware.static/-/Sites-pandora-master-catalog/default/dwbb259ca6/productimages/singlepackshot/",LEFT(A3429,FIND("-",A3429&amp;"-")-1),"_RGB.png")),""))),"{""url"":""https://us.pandora.net/on/demandware.static/-/Sites-pandora-master-catalog/default/dwbb259ca6/productimages/singlepackshot/797459_RGB.png"",""mode"":1}")</f>
        <v>{"url":"https://us.pandora.net/on/demandware.static/-/Sites-pandora-master-catalog/default/dwbb259ca6/productimages/singlepackshot/797459_RGB.png","mode":1}</v>
      </c>
      <c r="D3429" s="5" t="str">
        <f ca="1">IFERROR(ROWSDUMMYFUNCTION(IF(A3429="","",CONCATENATE("https://us.pandora.net/on/demandware.static/-/Sites-pandora-master-catalog/default/dwbb259ca6/productimages/singlepackshot/",LEFT(A3429,FIND("-",A3429&amp;"-")-1),"_RGB.png"))),"https://us.pandora.net/on/demandware.static/-/Sites-pandora-master-catalog/default/dwbb259ca6/productimages/singlepackshot/797459_RGB.png")</f>
        <v>https://us.pandora.net/on/demandware.static/-/Sites-pandora-master-catalog/default/dwbb259ca6/productimages/singlepackshot/797459_RGB.png</v>
      </c>
    </row>
    <row r="3430" spans="1:4" x14ac:dyDescent="0.25">
      <c r="A3430" s="3" t="s">
        <v>3432</v>
      </c>
      <c r="B3430" s="4">
        <v>39</v>
      </c>
      <c r="C3430" s="3" t="str">
        <f ca="1">IFERROR(ROWSDUMMYFUNCTION(IF(A3430="","",IFERROR(IMAGE(CONCATENATE("https://us.pandora.net/on/demandware.static/-/Sites-pandora-master-catalog/default/dwbb259ca6/productimages/singlepackshot/",LEFT(A3430,FIND("-",A3430&amp;"-")-1),"_RGB.png")),""))),"{""url"":""https://us.pandora.net/on/demandware.static/-/Sites-pandora-master-catalog/default/dwbb259ca6/productimages/singlepackshot/797460_RGB.png"",""mode"":1}")</f>
        <v>{"url":"https://us.pandora.net/on/demandware.static/-/Sites-pandora-master-catalog/default/dwbb259ca6/productimages/singlepackshot/797460_RGB.png","mode":1}</v>
      </c>
      <c r="D3430" s="5" t="str">
        <f ca="1">IFERROR(ROWSDUMMYFUNCTION(IF(A3430="","",CONCATENATE("https://us.pandora.net/on/demandware.static/-/Sites-pandora-master-catalog/default/dwbb259ca6/productimages/singlepackshot/",LEFT(A3430,FIND("-",A3430&amp;"-")-1),"_RGB.png"))),"https://us.pandora.net/on/demandware.static/-/Sites-pandora-master-catalog/default/dwbb259ca6/productimages/singlepackshot/797460_RGB.png")</f>
        <v>https://us.pandora.net/on/demandware.static/-/Sites-pandora-master-catalog/default/dwbb259ca6/productimages/singlepackshot/797460_RGB.png</v>
      </c>
    </row>
    <row r="3431" spans="1:4" x14ac:dyDescent="0.25">
      <c r="A3431" s="3" t="s">
        <v>3433</v>
      </c>
      <c r="B3431" s="4">
        <v>39</v>
      </c>
      <c r="C3431" s="3" t="str">
        <f ca="1">IFERROR(ROWSDUMMYFUNCTION(IF(A3431="","",IFERROR(IMAGE(CONCATENATE("https://us.pandora.net/on/demandware.static/-/Sites-pandora-master-catalog/default/dwbb259ca6/productimages/singlepackshot/",LEFT(A3431,FIND("-",A3431&amp;"-")-1),"_RGB.png")),""))),"{""url"":""https://us.pandora.net/on/demandware.static/-/Sites-pandora-master-catalog/default/dwbb259ca6/productimages/singlepackshot/797461_RGB.png"",""mode"":1}")</f>
        <v>{"url":"https://us.pandora.net/on/demandware.static/-/Sites-pandora-master-catalog/default/dwbb259ca6/productimages/singlepackshot/797461_RGB.png","mode":1}</v>
      </c>
      <c r="D3431" s="5" t="str">
        <f ca="1">IFERROR(ROWSDUMMYFUNCTION(IF(A3431="","",CONCATENATE("https://us.pandora.net/on/demandware.static/-/Sites-pandora-master-catalog/default/dwbb259ca6/productimages/singlepackshot/",LEFT(A3431,FIND("-",A3431&amp;"-")-1),"_RGB.png"))),"https://us.pandora.net/on/demandware.static/-/Sites-pandora-master-catalog/default/dwbb259ca6/productimages/singlepackshot/797461_RGB.png")</f>
        <v>https://us.pandora.net/on/demandware.static/-/Sites-pandora-master-catalog/default/dwbb259ca6/productimages/singlepackshot/797461_RGB.png</v>
      </c>
    </row>
    <row r="3432" spans="1:4" x14ac:dyDescent="0.25">
      <c r="A3432" s="3" t="s">
        <v>3434</v>
      </c>
      <c r="B3432" s="4">
        <v>39</v>
      </c>
      <c r="C3432" s="3" t="str">
        <f ca="1">IFERROR(ROWSDUMMYFUNCTION(IF(A3432="","",IFERROR(IMAGE(CONCATENATE("https://us.pandora.net/on/demandware.static/-/Sites-pandora-master-catalog/default/dwbb259ca6/productimages/singlepackshot/",LEFT(A3432,FIND("-",A3432&amp;"-")-1),"_RGB.png")),""))),"{""url"":""https://us.pandora.net/on/demandware.static/-/Sites-pandora-master-catalog/default/dwbb259ca6/productimages/singlepackshot/797462_RGB.png"",""mode"":1}")</f>
        <v>{"url":"https://us.pandora.net/on/demandware.static/-/Sites-pandora-master-catalog/default/dwbb259ca6/productimages/singlepackshot/797462_RGB.png","mode":1}</v>
      </c>
      <c r="D3432" s="5" t="str">
        <f ca="1">IFERROR(ROWSDUMMYFUNCTION(IF(A3432="","",CONCATENATE("https://us.pandora.net/on/demandware.static/-/Sites-pandora-master-catalog/default/dwbb259ca6/productimages/singlepackshot/",LEFT(A3432,FIND("-",A3432&amp;"-")-1),"_RGB.png"))),"https://us.pandora.net/on/demandware.static/-/Sites-pandora-master-catalog/default/dwbb259ca6/productimages/singlepackshot/797462_RGB.png")</f>
        <v>https://us.pandora.net/on/demandware.static/-/Sites-pandora-master-catalog/default/dwbb259ca6/productimages/singlepackshot/797462_RGB.png</v>
      </c>
    </row>
    <row r="3433" spans="1:4" x14ac:dyDescent="0.25">
      <c r="A3433" s="3" t="s">
        <v>3435</v>
      </c>
      <c r="B3433" s="4">
        <v>39</v>
      </c>
      <c r="C3433" s="3" t="str">
        <f ca="1">IFERROR(ROWSDUMMYFUNCTION(IF(A3433="","",IFERROR(IMAGE(CONCATENATE("https://us.pandora.net/on/demandware.static/-/Sites-pandora-master-catalog/default/dwbb259ca6/productimages/singlepackshot/",LEFT(A3433,FIND("-",A3433&amp;"-")-1),"_RGB.png")),""))),"{""url"":""https://us.pandora.net/on/demandware.static/-/Sites-pandora-master-catalog/default/dwbb259ca6/productimages/singlepackshot/797463_RGB.png"",""mode"":1}")</f>
        <v>{"url":"https://us.pandora.net/on/demandware.static/-/Sites-pandora-master-catalog/default/dwbb259ca6/productimages/singlepackshot/797463_RGB.png","mode":1}</v>
      </c>
      <c r="D3433" s="5" t="str">
        <f ca="1">IFERROR(ROWSDUMMYFUNCTION(IF(A3433="","",CONCATENATE("https://us.pandora.net/on/demandware.static/-/Sites-pandora-master-catalog/default/dwbb259ca6/productimages/singlepackshot/",LEFT(A3433,FIND("-",A3433&amp;"-")-1),"_RGB.png"))),"https://us.pandora.net/on/demandware.static/-/Sites-pandora-master-catalog/default/dwbb259ca6/productimages/singlepackshot/797463_RGB.png")</f>
        <v>https://us.pandora.net/on/demandware.static/-/Sites-pandora-master-catalog/default/dwbb259ca6/productimages/singlepackshot/797463_RGB.png</v>
      </c>
    </row>
    <row r="3434" spans="1:4" x14ac:dyDescent="0.25">
      <c r="A3434" s="3" t="s">
        <v>3436</v>
      </c>
      <c r="B3434" s="4">
        <v>39</v>
      </c>
      <c r="C3434" s="3" t="str">
        <f ca="1">IFERROR(ROWSDUMMYFUNCTION(IF(A3434="","",IFERROR(IMAGE(CONCATENATE("https://us.pandora.net/on/demandware.static/-/Sites-pandora-master-catalog/default/dwbb259ca6/productimages/singlepackshot/",LEFT(A3434,FIND("-",A3434&amp;"-")-1),"_RGB.png")),""))),"{""url"":""https://us.pandora.net/on/demandware.static/-/Sites-pandora-master-catalog/default/dwbb259ca6/productimages/singlepackshot/797464_RGB.png"",""mode"":1}")</f>
        <v>{"url":"https://us.pandora.net/on/demandware.static/-/Sites-pandora-master-catalog/default/dwbb259ca6/productimages/singlepackshot/797464_RGB.png","mode":1}</v>
      </c>
      <c r="D3434" s="5" t="str">
        <f ca="1">IFERROR(ROWSDUMMYFUNCTION(IF(A3434="","",CONCATENATE("https://us.pandora.net/on/demandware.static/-/Sites-pandora-master-catalog/default/dwbb259ca6/productimages/singlepackshot/",LEFT(A3434,FIND("-",A3434&amp;"-")-1),"_RGB.png"))),"https://us.pandora.net/on/demandware.static/-/Sites-pandora-master-catalog/default/dwbb259ca6/productimages/singlepackshot/797464_RGB.png")</f>
        <v>https://us.pandora.net/on/demandware.static/-/Sites-pandora-master-catalog/default/dwbb259ca6/productimages/singlepackshot/797464_RGB.png</v>
      </c>
    </row>
    <row r="3435" spans="1:4" x14ac:dyDescent="0.25">
      <c r="A3435" s="3" t="s">
        <v>3437</v>
      </c>
      <c r="B3435" s="4">
        <v>39</v>
      </c>
      <c r="C3435" s="3" t="str">
        <f ca="1">IFERROR(ROWSDUMMYFUNCTION(IF(A3435="","",IFERROR(IMAGE(CONCATENATE("https://us.pandora.net/on/demandware.static/-/Sites-pandora-master-catalog/default/dwbb259ca6/productimages/singlepackshot/",LEFT(A3435,FIND("-",A3435&amp;"-")-1),"_RGB.png")),""))),"{""url"":""https://us.pandora.net/on/demandware.static/-/Sites-pandora-master-catalog/default/dwbb259ca6/productimages/singlepackshot/797465_RGB.png"",""mode"":1}")</f>
        <v>{"url":"https://us.pandora.net/on/demandware.static/-/Sites-pandora-master-catalog/default/dwbb259ca6/productimages/singlepackshot/797465_RGB.png","mode":1}</v>
      </c>
      <c r="D3435" s="5" t="str">
        <f ca="1">IFERROR(ROWSDUMMYFUNCTION(IF(A3435="","",CONCATENATE("https://us.pandora.net/on/demandware.static/-/Sites-pandora-master-catalog/default/dwbb259ca6/productimages/singlepackshot/",LEFT(A3435,FIND("-",A3435&amp;"-")-1),"_RGB.png"))),"https://us.pandora.net/on/demandware.static/-/Sites-pandora-master-catalog/default/dwbb259ca6/productimages/singlepackshot/797465_RGB.png")</f>
        <v>https://us.pandora.net/on/demandware.static/-/Sites-pandora-master-catalog/default/dwbb259ca6/productimages/singlepackshot/797465_RGB.png</v>
      </c>
    </row>
    <row r="3436" spans="1:4" x14ac:dyDescent="0.25">
      <c r="A3436" s="3" t="s">
        <v>3438</v>
      </c>
      <c r="B3436" s="4">
        <v>39</v>
      </c>
      <c r="C3436" s="3" t="str">
        <f ca="1">IFERROR(ROWSDUMMYFUNCTION(IF(A3436="","",IFERROR(IMAGE(CONCATENATE("https://us.pandora.net/on/demandware.static/-/Sites-pandora-master-catalog/default/dwbb259ca6/productimages/singlepackshot/",LEFT(A3436,FIND("-",A3436&amp;"-")-1),"_RGB.png")),""))),"{""url"":""https://us.pandora.net/on/demandware.static/-/Sites-pandora-master-catalog/default/dwbb259ca6/productimages/singlepackshot/797466_RGB.png"",""mode"":1}")</f>
        <v>{"url":"https://us.pandora.net/on/demandware.static/-/Sites-pandora-master-catalog/default/dwbb259ca6/productimages/singlepackshot/797466_RGB.png","mode":1}</v>
      </c>
      <c r="D3436" s="5" t="str">
        <f ca="1">IFERROR(ROWSDUMMYFUNCTION(IF(A3436="","",CONCATENATE("https://us.pandora.net/on/demandware.static/-/Sites-pandora-master-catalog/default/dwbb259ca6/productimages/singlepackshot/",LEFT(A3436,FIND("-",A3436&amp;"-")-1),"_RGB.png"))),"https://us.pandora.net/on/demandware.static/-/Sites-pandora-master-catalog/default/dwbb259ca6/productimages/singlepackshot/797466_RGB.png")</f>
        <v>https://us.pandora.net/on/demandware.static/-/Sites-pandora-master-catalog/default/dwbb259ca6/productimages/singlepackshot/797466_RGB.png</v>
      </c>
    </row>
    <row r="3437" spans="1:4" x14ac:dyDescent="0.25">
      <c r="A3437" s="3" t="s">
        <v>3439</v>
      </c>
      <c r="B3437" s="4">
        <v>39</v>
      </c>
      <c r="C3437" s="3" t="str">
        <f ca="1">IFERROR(ROWSDUMMYFUNCTION(IF(A3437="","",IFERROR(IMAGE(CONCATENATE("https://us.pandora.net/on/demandware.static/-/Sites-pandora-master-catalog/default/dwbb259ca6/productimages/singlepackshot/",LEFT(A3437,FIND("-",A3437&amp;"-")-1),"_RGB.png")),""))),"{""url"":""https://us.pandora.net/on/demandware.static/-/Sites-pandora-master-catalog/default/dwbb259ca6/productimages/singlepackshot/797467_RGB.png"",""mode"":1}")</f>
        <v>{"url":"https://us.pandora.net/on/demandware.static/-/Sites-pandora-master-catalog/default/dwbb259ca6/productimages/singlepackshot/797467_RGB.png","mode":1}</v>
      </c>
      <c r="D3437" s="5" t="str">
        <f ca="1">IFERROR(ROWSDUMMYFUNCTION(IF(A3437="","",CONCATENATE("https://us.pandora.net/on/demandware.static/-/Sites-pandora-master-catalog/default/dwbb259ca6/productimages/singlepackshot/",LEFT(A3437,FIND("-",A3437&amp;"-")-1),"_RGB.png"))),"https://us.pandora.net/on/demandware.static/-/Sites-pandora-master-catalog/default/dwbb259ca6/productimages/singlepackshot/797467_RGB.png")</f>
        <v>https://us.pandora.net/on/demandware.static/-/Sites-pandora-master-catalog/default/dwbb259ca6/productimages/singlepackshot/797467_RGB.png</v>
      </c>
    </row>
    <row r="3438" spans="1:4" x14ac:dyDescent="0.25">
      <c r="A3438" s="3" t="s">
        <v>3440</v>
      </c>
      <c r="B3438" s="4">
        <v>39</v>
      </c>
      <c r="C3438" s="3" t="str">
        <f ca="1">IFERROR(ROWSDUMMYFUNCTION(IF(A3438="","",IFERROR(IMAGE(CONCATENATE("https://us.pandora.net/on/demandware.static/-/Sites-pandora-master-catalog/default/dwbb259ca6/productimages/singlepackshot/",LEFT(A3438,FIND("-",A3438&amp;"-")-1),"_RGB.png")),""))),"{""url"":""https://us.pandora.net/on/demandware.static/-/Sites-pandora-master-catalog/default/dwbb259ca6/productimages/singlepackshot/797468_RGB.png"",""mode"":1}")</f>
        <v>{"url":"https://us.pandora.net/on/demandware.static/-/Sites-pandora-master-catalog/default/dwbb259ca6/productimages/singlepackshot/797468_RGB.png","mode":1}</v>
      </c>
      <c r="D3438" s="5" t="str">
        <f ca="1">IFERROR(ROWSDUMMYFUNCTION(IF(A3438="","",CONCATENATE("https://us.pandora.net/on/demandware.static/-/Sites-pandora-master-catalog/default/dwbb259ca6/productimages/singlepackshot/",LEFT(A3438,FIND("-",A3438&amp;"-")-1),"_RGB.png"))),"https://us.pandora.net/on/demandware.static/-/Sites-pandora-master-catalog/default/dwbb259ca6/productimages/singlepackshot/797468_RGB.png")</f>
        <v>https://us.pandora.net/on/demandware.static/-/Sites-pandora-master-catalog/default/dwbb259ca6/productimages/singlepackshot/797468_RGB.png</v>
      </c>
    </row>
    <row r="3439" spans="1:4" x14ac:dyDescent="0.25">
      <c r="A3439" s="3" t="s">
        <v>3441</v>
      </c>
      <c r="B3439" s="4">
        <v>39</v>
      </c>
      <c r="C3439" s="3" t="str">
        <f ca="1">IFERROR(ROWSDUMMYFUNCTION(IF(A3439="","",IFERROR(IMAGE(CONCATENATE("https://us.pandora.net/on/demandware.static/-/Sites-pandora-master-catalog/default/dwbb259ca6/productimages/singlepackshot/",LEFT(A3439,FIND("-",A3439&amp;"-")-1),"_RGB.png")),""))),"{""url"":""https://us.pandora.net/on/demandware.static/-/Sites-pandora-master-catalog/default/dwbb259ca6/productimages/singlepackshot/797469_RGB.png"",""mode"":1}")</f>
        <v>{"url":"https://us.pandora.net/on/demandware.static/-/Sites-pandora-master-catalog/default/dwbb259ca6/productimages/singlepackshot/797469_RGB.png","mode":1}</v>
      </c>
      <c r="D3439" s="5" t="str">
        <f ca="1">IFERROR(ROWSDUMMYFUNCTION(IF(A3439="","",CONCATENATE("https://us.pandora.net/on/demandware.static/-/Sites-pandora-master-catalog/default/dwbb259ca6/productimages/singlepackshot/",LEFT(A3439,FIND("-",A3439&amp;"-")-1),"_RGB.png"))),"https://us.pandora.net/on/demandware.static/-/Sites-pandora-master-catalog/default/dwbb259ca6/productimages/singlepackshot/797469_RGB.png")</f>
        <v>https://us.pandora.net/on/demandware.static/-/Sites-pandora-master-catalog/default/dwbb259ca6/productimages/singlepackshot/797469_RGB.png</v>
      </c>
    </row>
    <row r="3440" spans="1:4" x14ac:dyDescent="0.25">
      <c r="A3440" s="3" t="s">
        <v>3442</v>
      </c>
      <c r="B3440" s="4">
        <v>39</v>
      </c>
      <c r="C3440" s="3" t="str">
        <f ca="1">IFERROR(ROWSDUMMYFUNCTION(IF(A3440="","",IFERROR(IMAGE(CONCATENATE("https://us.pandora.net/on/demandware.static/-/Sites-pandora-master-catalog/default/dwbb259ca6/productimages/singlepackshot/",LEFT(A3440,FIND("-",A3440&amp;"-")-1),"_RGB.png")),""))),"{""url"":""https://us.pandora.net/on/demandware.static/-/Sites-pandora-master-catalog/default/dwbb259ca6/productimages/singlepackshot/797470_RGB.png"",""mode"":1}")</f>
        <v>{"url":"https://us.pandora.net/on/demandware.static/-/Sites-pandora-master-catalog/default/dwbb259ca6/productimages/singlepackshot/797470_RGB.png","mode":1}</v>
      </c>
      <c r="D3440" s="5" t="str">
        <f ca="1">IFERROR(ROWSDUMMYFUNCTION(IF(A3440="","",CONCATENATE("https://us.pandora.net/on/demandware.static/-/Sites-pandora-master-catalog/default/dwbb259ca6/productimages/singlepackshot/",LEFT(A3440,FIND("-",A3440&amp;"-")-1),"_RGB.png"))),"https://us.pandora.net/on/demandware.static/-/Sites-pandora-master-catalog/default/dwbb259ca6/productimages/singlepackshot/797470_RGB.png")</f>
        <v>https://us.pandora.net/on/demandware.static/-/Sites-pandora-master-catalog/default/dwbb259ca6/productimages/singlepackshot/797470_RGB.png</v>
      </c>
    </row>
    <row r="3441" spans="1:4" x14ac:dyDescent="0.25">
      <c r="A3441" s="3" t="s">
        <v>3443</v>
      </c>
      <c r="B3441" s="4">
        <v>39</v>
      </c>
      <c r="C3441" s="3" t="str">
        <f ca="1">IFERROR(ROWSDUMMYFUNCTION(IF(A3441="","",IFERROR(IMAGE(CONCATENATE("https://us.pandora.net/on/demandware.static/-/Sites-pandora-master-catalog/default/dwbb259ca6/productimages/singlepackshot/",LEFT(A3441,FIND("-",A3441&amp;"-")-1),"_RGB.png")),""))),"{""url"":""https://us.pandora.net/on/demandware.static/-/Sites-pandora-master-catalog/default/dwbb259ca6/productimages/singlepackshot/797471_RGB.png"",""mode"":1}")</f>
        <v>{"url":"https://us.pandora.net/on/demandware.static/-/Sites-pandora-master-catalog/default/dwbb259ca6/productimages/singlepackshot/797471_RGB.png","mode":1}</v>
      </c>
      <c r="D3441" s="5" t="str">
        <f ca="1">IFERROR(ROWSDUMMYFUNCTION(IF(A3441="","",CONCATENATE("https://us.pandora.net/on/demandware.static/-/Sites-pandora-master-catalog/default/dwbb259ca6/productimages/singlepackshot/",LEFT(A3441,FIND("-",A3441&amp;"-")-1),"_RGB.png"))),"https://us.pandora.net/on/demandware.static/-/Sites-pandora-master-catalog/default/dwbb259ca6/productimages/singlepackshot/797471_RGB.png")</f>
        <v>https://us.pandora.net/on/demandware.static/-/Sites-pandora-master-catalog/default/dwbb259ca6/productimages/singlepackshot/797471_RGB.png</v>
      </c>
    </row>
    <row r="3442" spans="1:4" x14ac:dyDescent="0.25">
      <c r="A3442" s="3" t="s">
        <v>3444</v>
      </c>
      <c r="B3442" s="4">
        <v>39</v>
      </c>
      <c r="C3442" s="3" t="str">
        <f ca="1">IFERROR(ROWSDUMMYFUNCTION(IF(A3442="","",IFERROR(IMAGE(CONCATENATE("https://us.pandora.net/on/demandware.static/-/Sites-pandora-master-catalog/default/dwbb259ca6/productimages/singlepackshot/",LEFT(A3442,FIND("-",A3442&amp;"-")-1),"_RGB.png")),""))),"{""url"":""https://us.pandora.net/on/demandware.static/-/Sites-pandora-master-catalog/default/dwbb259ca6/productimages/singlepackshot/797472_RGB.png"",""mode"":1}")</f>
        <v>{"url":"https://us.pandora.net/on/demandware.static/-/Sites-pandora-master-catalog/default/dwbb259ca6/productimages/singlepackshot/797472_RGB.png","mode":1}</v>
      </c>
      <c r="D3442" s="5" t="str">
        <f ca="1">IFERROR(ROWSDUMMYFUNCTION(IF(A3442="","",CONCATENATE("https://us.pandora.net/on/demandware.static/-/Sites-pandora-master-catalog/default/dwbb259ca6/productimages/singlepackshot/",LEFT(A3442,FIND("-",A3442&amp;"-")-1),"_RGB.png"))),"https://us.pandora.net/on/demandware.static/-/Sites-pandora-master-catalog/default/dwbb259ca6/productimages/singlepackshot/797472_RGB.png")</f>
        <v>https://us.pandora.net/on/demandware.static/-/Sites-pandora-master-catalog/default/dwbb259ca6/productimages/singlepackshot/797472_RGB.png</v>
      </c>
    </row>
    <row r="3443" spans="1:4" x14ac:dyDescent="0.25">
      <c r="A3443" s="3" t="s">
        <v>3445</v>
      </c>
      <c r="B3443" s="4">
        <v>39</v>
      </c>
      <c r="C3443" s="3" t="str">
        <f ca="1">IFERROR(ROWSDUMMYFUNCTION(IF(A3443="","",IFERROR(IMAGE(CONCATENATE("https://us.pandora.net/on/demandware.static/-/Sites-pandora-master-catalog/default/dwbb259ca6/productimages/singlepackshot/",LEFT(A3443,FIND("-",A3443&amp;"-")-1),"_RGB.png")),""))),"{""url"":""https://us.pandora.net/on/demandware.static/-/Sites-pandora-master-catalog/default/dwbb259ca6/productimages/singlepackshot/797473_RGB.png"",""mode"":1}")</f>
        <v>{"url":"https://us.pandora.net/on/demandware.static/-/Sites-pandora-master-catalog/default/dwbb259ca6/productimages/singlepackshot/797473_RGB.png","mode":1}</v>
      </c>
      <c r="D3443" s="5" t="str">
        <f ca="1">IFERROR(ROWSDUMMYFUNCTION(IF(A3443="","",CONCATENATE("https://us.pandora.net/on/demandware.static/-/Sites-pandora-master-catalog/default/dwbb259ca6/productimages/singlepackshot/",LEFT(A3443,FIND("-",A3443&amp;"-")-1),"_RGB.png"))),"https://us.pandora.net/on/demandware.static/-/Sites-pandora-master-catalog/default/dwbb259ca6/productimages/singlepackshot/797473_RGB.png")</f>
        <v>https://us.pandora.net/on/demandware.static/-/Sites-pandora-master-catalog/default/dwbb259ca6/productimages/singlepackshot/797473_RGB.png</v>
      </c>
    </row>
    <row r="3444" spans="1:4" x14ac:dyDescent="0.25">
      <c r="A3444" s="3" t="s">
        <v>3446</v>
      </c>
      <c r="B3444" s="4">
        <v>39</v>
      </c>
      <c r="C3444" s="3" t="str">
        <f ca="1">IFERROR(ROWSDUMMYFUNCTION(IF(A3444="","",IFERROR(IMAGE(CONCATENATE("https://us.pandora.net/on/demandware.static/-/Sites-pandora-master-catalog/default/dwbb259ca6/productimages/singlepackshot/",LEFT(A3444,FIND("-",A3444&amp;"-")-1),"_RGB.png")),""))),"{""url"":""https://us.pandora.net/on/demandware.static/-/Sites-pandora-master-catalog/default/dwbb259ca6/productimages/singlepackshot/797474_RGB.png"",""mode"":1}")</f>
        <v>{"url":"https://us.pandora.net/on/demandware.static/-/Sites-pandora-master-catalog/default/dwbb259ca6/productimages/singlepackshot/797474_RGB.png","mode":1}</v>
      </c>
      <c r="D3444" s="5" t="str">
        <f ca="1">IFERROR(ROWSDUMMYFUNCTION(IF(A3444="","",CONCATENATE("https://us.pandora.net/on/demandware.static/-/Sites-pandora-master-catalog/default/dwbb259ca6/productimages/singlepackshot/",LEFT(A3444,FIND("-",A3444&amp;"-")-1),"_RGB.png"))),"https://us.pandora.net/on/demandware.static/-/Sites-pandora-master-catalog/default/dwbb259ca6/productimages/singlepackshot/797474_RGB.png")</f>
        <v>https://us.pandora.net/on/demandware.static/-/Sites-pandora-master-catalog/default/dwbb259ca6/productimages/singlepackshot/797474_RGB.png</v>
      </c>
    </row>
    <row r="3445" spans="1:4" x14ac:dyDescent="0.25">
      <c r="A3445" s="3" t="s">
        <v>3447</v>
      </c>
      <c r="B3445" s="4">
        <v>39</v>
      </c>
      <c r="C3445" s="3" t="str">
        <f ca="1">IFERROR(ROWSDUMMYFUNCTION(IF(A3445="","",IFERROR(IMAGE(CONCATENATE("https://us.pandora.net/on/demandware.static/-/Sites-pandora-master-catalog/default/dwbb259ca6/productimages/singlepackshot/",LEFT(A3445,FIND("-",A3445&amp;"-")-1),"_RGB.png")),""))),"{""url"":""https://us.pandora.net/on/demandware.static/-/Sites-pandora-master-catalog/default/dwbb259ca6/productimages/singlepackshot/797475_RGB.png"",""mode"":1}")</f>
        <v>{"url":"https://us.pandora.net/on/demandware.static/-/Sites-pandora-master-catalog/default/dwbb259ca6/productimages/singlepackshot/797475_RGB.png","mode":1}</v>
      </c>
      <c r="D3445" s="5" t="str">
        <f ca="1">IFERROR(ROWSDUMMYFUNCTION(IF(A3445="","",CONCATENATE("https://us.pandora.net/on/demandware.static/-/Sites-pandora-master-catalog/default/dwbb259ca6/productimages/singlepackshot/",LEFT(A3445,FIND("-",A3445&amp;"-")-1),"_RGB.png"))),"https://us.pandora.net/on/demandware.static/-/Sites-pandora-master-catalog/default/dwbb259ca6/productimages/singlepackshot/797475_RGB.png")</f>
        <v>https://us.pandora.net/on/demandware.static/-/Sites-pandora-master-catalog/default/dwbb259ca6/productimages/singlepackshot/797475_RGB.png</v>
      </c>
    </row>
    <row r="3446" spans="1:4" x14ac:dyDescent="0.25">
      <c r="A3446" s="3" t="s">
        <v>3448</v>
      </c>
      <c r="B3446" s="4">
        <v>39</v>
      </c>
      <c r="C3446" s="3" t="str">
        <f ca="1">IFERROR(ROWSDUMMYFUNCTION(IF(A3446="","",IFERROR(IMAGE(CONCATENATE("https://us.pandora.net/on/demandware.static/-/Sites-pandora-master-catalog/default/dwbb259ca6/productimages/singlepackshot/",LEFT(A3446,FIND("-",A3446&amp;"-")-1),"_RGB.png")),""))),"{""url"":""https://us.pandora.net/on/demandware.static/-/Sites-pandora-master-catalog/default/dwbb259ca6/productimages/singlepackshot/797476_RGB.png"",""mode"":1}")</f>
        <v>{"url":"https://us.pandora.net/on/demandware.static/-/Sites-pandora-master-catalog/default/dwbb259ca6/productimages/singlepackshot/797476_RGB.png","mode":1}</v>
      </c>
      <c r="D3446" s="5" t="str">
        <f ca="1">IFERROR(ROWSDUMMYFUNCTION(IF(A3446="","",CONCATENATE("https://us.pandora.net/on/demandware.static/-/Sites-pandora-master-catalog/default/dwbb259ca6/productimages/singlepackshot/",LEFT(A3446,FIND("-",A3446&amp;"-")-1),"_RGB.png"))),"https://us.pandora.net/on/demandware.static/-/Sites-pandora-master-catalog/default/dwbb259ca6/productimages/singlepackshot/797476_RGB.png")</f>
        <v>https://us.pandora.net/on/demandware.static/-/Sites-pandora-master-catalog/default/dwbb259ca6/productimages/singlepackshot/797476_RGB.png</v>
      </c>
    </row>
    <row r="3447" spans="1:4" x14ac:dyDescent="0.25">
      <c r="A3447" s="3" t="s">
        <v>3449</v>
      </c>
      <c r="B3447" s="4">
        <v>39</v>
      </c>
      <c r="C3447" s="3" t="str">
        <f ca="1">IFERROR(ROWSDUMMYFUNCTION(IF(A3447="","",IFERROR(IMAGE(CONCATENATE("https://us.pandora.net/on/demandware.static/-/Sites-pandora-master-catalog/default/dwbb259ca6/productimages/singlepackshot/",LEFT(A3447,FIND("-",A3447&amp;"-")-1),"_RGB.png")),""))),"{""url"":""https://us.pandora.net/on/demandware.static/-/Sites-pandora-master-catalog/default/dwbb259ca6/productimages/singlepackshot/797477_RGB.png"",""mode"":1}")</f>
        <v>{"url":"https://us.pandora.net/on/demandware.static/-/Sites-pandora-master-catalog/default/dwbb259ca6/productimages/singlepackshot/797477_RGB.png","mode":1}</v>
      </c>
      <c r="D3447" s="5" t="str">
        <f ca="1">IFERROR(ROWSDUMMYFUNCTION(IF(A3447="","",CONCATENATE("https://us.pandora.net/on/demandware.static/-/Sites-pandora-master-catalog/default/dwbb259ca6/productimages/singlepackshot/",LEFT(A3447,FIND("-",A3447&amp;"-")-1),"_RGB.png"))),"https://us.pandora.net/on/demandware.static/-/Sites-pandora-master-catalog/default/dwbb259ca6/productimages/singlepackshot/797477_RGB.png")</f>
        <v>https://us.pandora.net/on/demandware.static/-/Sites-pandora-master-catalog/default/dwbb259ca6/productimages/singlepackshot/797477_RGB.png</v>
      </c>
    </row>
    <row r="3448" spans="1:4" x14ac:dyDescent="0.25">
      <c r="A3448" s="3" t="s">
        <v>3450</v>
      </c>
      <c r="B3448" s="4">
        <v>39</v>
      </c>
      <c r="C3448" s="3" t="str">
        <f ca="1">IFERROR(ROWSDUMMYFUNCTION(IF(A3448="","",IFERROR(IMAGE(CONCATENATE("https://us.pandora.net/on/demandware.static/-/Sites-pandora-master-catalog/default/dwbb259ca6/productimages/singlepackshot/",LEFT(A3448,FIND("-",A3448&amp;"-")-1),"_RGB.png")),""))),"{""url"":""https://us.pandora.net/on/demandware.static/-/Sites-pandora-master-catalog/default/dwbb259ca6/productimages/singlepackshot/797478_RGB.png"",""mode"":1}")</f>
        <v>{"url":"https://us.pandora.net/on/demandware.static/-/Sites-pandora-master-catalog/default/dwbb259ca6/productimages/singlepackshot/797478_RGB.png","mode":1}</v>
      </c>
      <c r="D3448" s="5" t="str">
        <f ca="1">IFERROR(ROWSDUMMYFUNCTION(IF(A3448="","",CONCATENATE("https://us.pandora.net/on/demandware.static/-/Sites-pandora-master-catalog/default/dwbb259ca6/productimages/singlepackshot/",LEFT(A3448,FIND("-",A3448&amp;"-")-1),"_RGB.png"))),"https://us.pandora.net/on/demandware.static/-/Sites-pandora-master-catalog/default/dwbb259ca6/productimages/singlepackshot/797478_RGB.png")</f>
        <v>https://us.pandora.net/on/demandware.static/-/Sites-pandora-master-catalog/default/dwbb259ca6/productimages/singlepackshot/797478_RGB.png</v>
      </c>
    </row>
    <row r="3449" spans="1:4" x14ac:dyDescent="0.25">
      <c r="A3449" s="3" t="s">
        <v>3451</v>
      </c>
      <c r="B3449" s="4">
        <v>39</v>
      </c>
      <c r="C3449" s="3" t="str">
        <f ca="1">IFERROR(ROWSDUMMYFUNCTION(IF(A3449="","",IFERROR(IMAGE(CONCATENATE("https://us.pandora.net/on/demandware.static/-/Sites-pandora-master-catalog/default/dwbb259ca6/productimages/singlepackshot/",LEFT(A3449,FIND("-",A3449&amp;"-")-1),"_RGB.png")),""))),"{""url"":""https://us.pandora.net/on/demandware.static/-/Sites-pandora-master-catalog/default/dwbb259ca6/productimages/singlepackshot/797479_RGB.png"",""mode"":1}")</f>
        <v>{"url":"https://us.pandora.net/on/demandware.static/-/Sites-pandora-master-catalog/default/dwbb259ca6/productimages/singlepackshot/797479_RGB.png","mode":1}</v>
      </c>
      <c r="D3449" s="5" t="str">
        <f ca="1">IFERROR(ROWSDUMMYFUNCTION(IF(A3449="","",CONCATENATE("https://us.pandora.net/on/demandware.static/-/Sites-pandora-master-catalog/default/dwbb259ca6/productimages/singlepackshot/",LEFT(A3449,FIND("-",A3449&amp;"-")-1),"_RGB.png"))),"https://us.pandora.net/on/demandware.static/-/Sites-pandora-master-catalog/default/dwbb259ca6/productimages/singlepackshot/797479_RGB.png")</f>
        <v>https://us.pandora.net/on/demandware.static/-/Sites-pandora-master-catalog/default/dwbb259ca6/productimages/singlepackshot/797479_RGB.png</v>
      </c>
    </row>
    <row r="3450" spans="1:4" x14ac:dyDescent="0.25">
      <c r="A3450" s="3" t="s">
        <v>3452</v>
      </c>
      <c r="B3450" s="4">
        <v>39</v>
      </c>
      <c r="C3450" s="3" t="str">
        <f ca="1">IFERROR(ROWSDUMMYFUNCTION(IF(A3450="","",IFERROR(IMAGE(CONCATENATE("https://us.pandora.net/on/demandware.static/-/Sites-pandora-master-catalog/default/dwbb259ca6/productimages/singlepackshot/",LEFT(A3450,FIND("-",A3450&amp;"-")-1),"_RGB.png")),""))),"{""url"":""https://us.pandora.net/on/demandware.static/-/Sites-pandora-master-catalog/default/dwbb259ca6/productimages/singlepackshot/797480_RGB.png"",""mode"":1}")</f>
        <v>{"url":"https://us.pandora.net/on/demandware.static/-/Sites-pandora-master-catalog/default/dwbb259ca6/productimages/singlepackshot/797480_RGB.png","mode":1}</v>
      </c>
      <c r="D3450" s="5" t="str">
        <f ca="1">IFERROR(ROWSDUMMYFUNCTION(IF(A3450="","",CONCATENATE("https://us.pandora.net/on/demandware.static/-/Sites-pandora-master-catalog/default/dwbb259ca6/productimages/singlepackshot/",LEFT(A3450,FIND("-",A3450&amp;"-")-1),"_RGB.png"))),"https://us.pandora.net/on/demandware.static/-/Sites-pandora-master-catalog/default/dwbb259ca6/productimages/singlepackshot/797480_RGB.png")</f>
        <v>https://us.pandora.net/on/demandware.static/-/Sites-pandora-master-catalog/default/dwbb259ca6/productimages/singlepackshot/797480_RGB.png</v>
      </c>
    </row>
    <row r="3451" spans="1:4" x14ac:dyDescent="0.25">
      <c r="A3451" s="3" t="s">
        <v>3453</v>
      </c>
      <c r="B3451" s="4">
        <v>19</v>
      </c>
      <c r="C3451" s="3" t="str">
        <f ca="1">IFERROR(ROWSDUMMYFUNCTION(IF(A3451="","",IFERROR(IMAGE(CONCATENATE("https://us.pandora.net/on/demandware.static/-/Sites-pandora-master-catalog/default/dwbb259ca6/productimages/singlepackshot/",LEFT(A3451,FIND("-",A3451&amp;"-")-1),"_RGB.png")),""))),"{""url"":""https://us.pandora.net/on/demandware.static/-/Sites-pandora-master-catalog/default/dwbb259ca6/productimages/singlepackshot/797516_RGB.png"",""mode"":1}")</f>
        <v>{"url":"https://us.pandora.net/on/demandware.static/-/Sites-pandora-master-catalog/default/dwbb259ca6/productimages/singlepackshot/797516_RGB.png","mode":1}</v>
      </c>
      <c r="D3451" s="5" t="str">
        <f ca="1">IFERROR(ROWSDUMMYFUNCTION(IF(A3451="","",CONCATENATE("https://us.pandora.net/on/demandware.static/-/Sites-pandora-master-catalog/default/dwbb259ca6/productimages/singlepackshot/",LEFT(A3451,FIND("-",A3451&amp;"-")-1),"_RGB.png"))),"https://us.pandora.net/on/demandware.static/-/Sites-pandora-master-catalog/default/dwbb259ca6/productimages/singlepackshot/797516_RGB.png")</f>
        <v>https://us.pandora.net/on/demandware.static/-/Sites-pandora-master-catalog/default/dwbb259ca6/productimages/singlepackshot/797516_RGB.png</v>
      </c>
    </row>
    <row r="3452" spans="1:4" x14ac:dyDescent="0.25">
      <c r="A3452" s="3" t="s">
        <v>3454</v>
      </c>
      <c r="B3452" s="4">
        <v>39</v>
      </c>
      <c r="C3452" s="3" t="str">
        <f ca="1">IFERROR(ROWSDUMMYFUNCTION(IF(A3452="","",IFERROR(IMAGE(CONCATENATE("https://us.pandora.net/on/demandware.static/-/Sites-pandora-master-catalog/default/dwbb259ca6/productimages/singlepackshot/",LEFT(A3452,FIND("-",A3452&amp;"-")-1),"_RGB.png")),""))),"{""url"":""https://us.pandora.net/on/demandware.static/-/Sites-pandora-master-catalog/default/dwbb259ca6/productimages/singlepackshot/797523ENMX_RGB.png"",""mode"":1}")</f>
        <v>{"url":"https://us.pandora.net/on/demandware.static/-/Sites-pandora-master-catalog/default/dwbb259ca6/productimages/singlepackshot/797523ENMX_RGB.png","mode":1}</v>
      </c>
      <c r="D3452" s="5" t="str">
        <f ca="1">IFERROR(ROWSDUMMYFUNCTION(IF(A3452="","",CONCATENATE("https://us.pandora.net/on/demandware.static/-/Sites-pandora-master-catalog/default/dwbb259ca6/productimages/singlepackshot/",LEFT(A3452,FIND("-",A3452&amp;"-")-1),"_RGB.png"))),"https://us.pandora.net/on/demandware.static/-/Sites-pandora-master-catalog/default/dwbb259ca6/productimages/singlepackshot/797523ENMX_RGB.png")</f>
        <v>https://us.pandora.net/on/demandware.static/-/Sites-pandora-master-catalog/default/dwbb259ca6/productimages/singlepackshot/797523ENMX_RGB.png</v>
      </c>
    </row>
    <row r="3453" spans="1:4" x14ac:dyDescent="0.25">
      <c r="A3453" s="3" t="s">
        <v>3455</v>
      </c>
      <c r="B3453" s="4">
        <v>39</v>
      </c>
      <c r="C3453" s="3" t="str">
        <f ca="1">IFERROR(ROWSDUMMYFUNCTION(IF(A3453="","",IFERROR(IMAGE(CONCATENATE("https://us.pandora.net/on/demandware.static/-/Sites-pandora-master-catalog/default/dwbb259ca6/productimages/singlepackshot/",LEFT(A3453,FIND("-",A3453&amp;"-")-1),"_RGB.png")),""))),"{""url"":""https://us.pandora.net/on/demandware.static/-/Sites-pandora-master-catalog/default/dwbb259ca6/productimages/singlepackshot/797590_RGB.png"",""mode"":1}")</f>
        <v>{"url":"https://us.pandora.net/on/demandware.static/-/Sites-pandora-master-catalog/default/dwbb259ca6/productimages/singlepackshot/797590_RGB.png","mode":1}</v>
      </c>
      <c r="D3453" s="5" t="str">
        <f ca="1">IFERROR(ROWSDUMMYFUNCTION(IF(A3453="","",CONCATENATE("https://us.pandora.net/on/demandware.static/-/Sites-pandora-master-catalog/default/dwbb259ca6/productimages/singlepackshot/",LEFT(A3453,FIND("-",A3453&amp;"-")-1),"_RGB.png"))),"https://us.pandora.net/on/demandware.static/-/Sites-pandora-master-catalog/default/dwbb259ca6/productimages/singlepackshot/797590_RGB.png")</f>
        <v>https://us.pandora.net/on/demandware.static/-/Sites-pandora-master-catalog/default/dwbb259ca6/productimages/singlepackshot/797590_RGB.png</v>
      </c>
    </row>
    <row r="3454" spans="1:4" x14ac:dyDescent="0.25">
      <c r="A3454" s="3" t="s">
        <v>3456</v>
      </c>
      <c r="B3454" s="4">
        <v>59</v>
      </c>
      <c r="C3454" s="3" t="str">
        <f ca="1">IFERROR(ROWSDUMMYFUNCTION(IF(A3454="","",IFERROR(IMAGE(CONCATENATE("https://us.pandora.net/on/demandware.static/-/Sites-pandora-master-catalog/default/dwbb259ca6/productimages/singlepackshot/",LEFT(A3454,FIND("-",A3454&amp;"-")-1),"_RGB.png")),""))),"{""url"":""https://us.pandora.net/on/demandware.static/-/Sites-pandora-master-catalog/default/dwbb259ca6/productimages/singlepackshot/797777EN16_RGB.png"",""mode"":1}")</f>
        <v>{"url":"https://us.pandora.net/on/demandware.static/-/Sites-pandora-master-catalog/default/dwbb259ca6/productimages/singlepackshot/797777EN16_RGB.png","mode":1}</v>
      </c>
      <c r="D3454" s="5" t="str">
        <f ca="1">IFERROR(ROWSDUMMYFUNCTION(IF(A3454="","",CONCATENATE("https://us.pandora.net/on/demandware.static/-/Sites-pandora-master-catalog/default/dwbb259ca6/productimages/singlepackshot/",LEFT(A3454,FIND("-",A3454&amp;"-")-1),"_RGB.png"))),"https://us.pandora.net/on/demandware.static/-/Sites-pandora-master-catalog/default/dwbb259ca6/productimages/singlepackshot/797777EN16_RGB.png")</f>
        <v>https://us.pandora.net/on/demandware.static/-/Sites-pandora-master-catalog/default/dwbb259ca6/productimages/singlepackshot/797777EN16_RGB.png</v>
      </c>
    </row>
    <row r="3455" spans="1:4" x14ac:dyDescent="0.25">
      <c r="A3455" s="3" t="s">
        <v>3457</v>
      </c>
      <c r="B3455" s="4">
        <v>55</v>
      </c>
      <c r="C3455" s="3" t="str">
        <f ca="1">IFERROR(ROWSDUMMYFUNCTION(IF(A3455="","",IFERROR(IMAGE(CONCATENATE("https://us.pandora.net/on/demandware.static/-/Sites-pandora-master-catalog/default/dwbb259ca6/productimages/singlepackshot/",LEFT(A3455,FIND("-",A3455&amp;"-")-1),"_RGB.png")),""))),"{""url"":""https://us.pandora.net/on/demandware.static/-/Sites-pandora-master-catalog/default/dwbb259ca6/productimages/singlepackshot/797863ENMX_RGB.png"",""mode"":1}")</f>
        <v>{"url":"https://us.pandora.net/on/demandware.static/-/Sites-pandora-master-catalog/default/dwbb259ca6/productimages/singlepackshot/797863ENMX_RGB.png","mode":1}</v>
      </c>
      <c r="D3455" s="5" t="str">
        <f ca="1">IFERROR(ROWSDUMMYFUNCTION(IF(A3455="","",CONCATENATE("https://us.pandora.net/on/demandware.static/-/Sites-pandora-master-catalog/default/dwbb259ca6/productimages/singlepackshot/",LEFT(A3455,FIND("-",A3455&amp;"-")-1),"_RGB.png"))),"https://us.pandora.net/on/demandware.static/-/Sites-pandora-master-catalog/default/dwbb259ca6/productimages/singlepackshot/797863ENMX_RGB.png")</f>
        <v>https://us.pandora.net/on/demandware.static/-/Sites-pandora-master-catalog/default/dwbb259ca6/productimages/singlepackshot/797863ENMX_RGB.png</v>
      </c>
    </row>
    <row r="3456" spans="1:4" x14ac:dyDescent="0.25">
      <c r="A3456" s="3" t="s">
        <v>3458</v>
      </c>
      <c r="B3456" s="4">
        <v>29</v>
      </c>
      <c r="C3456" s="3" t="str">
        <f ca="1">IFERROR(ROWSDUMMYFUNCTION(IF(A3456="","",IFERROR(IMAGE(CONCATENATE("https://us.pandora.net/on/demandware.static/-/Sites-pandora-master-catalog/default/dwbb259ca6/productimages/singlepackshot/",LEFT(A3456,FIND("-",A3456&amp;"-")-1),"_RGB.png")),""))),"{""url"":""https://us.pandora.net/on/demandware.static/-/Sites-pandora-master-catalog/default/dwbb259ca6/productimages/singlepackshot/797868_RGB.png"",""mode"":1}")</f>
        <v>{"url":"https://us.pandora.net/on/demandware.static/-/Sites-pandora-master-catalog/default/dwbb259ca6/productimages/singlepackshot/797868_RGB.png","mode":1}</v>
      </c>
      <c r="D3456" s="5" t="str">
        <f ca="1">IFERROR(ROWSDUMMYFUNCTION(IF(A3456="","",CONCATENATE("https://us.pandora.net/on/demandware.static/-/Sites-pandora-master-catalog/default/dwbb259ca6/productimages/singlepackshot/",LEFT(A3456,FIND("-",A3456&amp;"-")-1),"_RGB.png"))),"https://us.pandora.net/on/demandware.static/-/Sites-pandora-master-catalog/default/dwbb259ca6/productimages/singlepackshot/797868_RGB.png")</f>
        <v>https://us.pandora.net/on/demandware.static/-/Sites-pandora-master-catalog/default/dwbb259ca6/productimages/singlepackshot/797868_RGB.png</v>
      </c>
    </row>
    <row r="3457" spans="1:4" x14ac:dyDescent="0.25">
      <c r="A3457" s="3" t="s">
        <v>3459</v>
      </c>
      <c r="B3457" s="4">
        <v>45</v>
      </c>
      <c r="C3457" s="3" t="str">
        <f ca="1">IFERROR(ROWSDUMMYFUNCTION(IF(A3457="","",IFERROR(IMAGE(CONCATENATE("https://us.pandora.net/on/demandware.static/-/Sites-pandora-master-catalog/default/dwbb259ca6/productimages/singlepackshot/",LEFT(A3457,FIND("-",A3457&amp;"-")-1),"_RGB.png")),""))),"{""url"":""https://us.pandora.net/on/demandware.static/-/Sites-pandora-master-catalog/default/dwbb259ca6/productimages/singlepackshot/797879EN09_RGB.png"",""mode"":1}")</f>
        <v>{"url":"https://us.pandora.net/on/demandware.static/-/Sites-pandora-master-catalog/default/dwbb259ca6/productimages/singlepackshot/797879EN09_RGB.png","mode":1}</v>
      </c>
      <c r="D3457" s="5" t="str">
        <f ca="1">IFERROR(ROWSDUMMYFUNCTION(IF(A3457="","",CONCATENATE("https://us.pandora.net/on/demandware.static/-/Sites-pandora-master-catalog/default/dwbb259ca6/productimages/singlepackshot/",LEFT(A3457,FIND("-",A3457&amp;"-")-1),"_RGB.png"))),"https://us.pandora.net/on/demandware.static/-/Sites-pandora-master-catalog/default/dwbb259ca6/productimages/singlepackshot/797879EN09_RGB.png")</f>
        <v>https://us.pandora.net/on/demandware.static/-/Sites-pandora-master-catalog/default/dwbb259ca6/productimages/singlepackshot/797879EN09_RGB.png</v>
      </c>
    </row>
    <row r="3458" spans="1:4" x14ac:dyDescent="0.25">
      <c r="A3458" s="3" t="s">
        <v>3460</v>
      </c>
      <c r="B3458" s="4">
        <v>65</v>
      </c>
      <c r="C3458" s="3" t="str">
        <f ca="1">IFERROR(ROWSDUMMYFUNCTION(IF(A3458="","",IFERROR(IMAGE(CONCATENATE("https://us.pandora.net/on/demandware.static/-/Sites-pandora-master-catalog/default/dwbb259ca6/productimages/singlepackshot/",LEFT(A3458,FIND("-",A3458&amp;"-")-1),"_RGB.png")),""))),"{""url"":""https://us.pandora.net/on/demandware.static/-/Sites-pandora-master-catalog/default/dwbb259ca6/productimages/singlepackshot/797906NRGMX_RGB.png"",""mode"":1}")</f>
        <v>{"url":"https://us.pandora.net/on/demandware.static/-/Sites-pandora-master-catalog/default/dwbb259ca6/productimages/singlepackshot/797906NRGMX_RGB.png","mode":1}</v>
      </c>
      <c r="D3458" s="5" t="str">
        <f ca="1">IFERROR(ROWSDUMMYFUNCTION(IF(A3458="","",CONCATENATE("https://us.pandora.net/on/demandware.static/-/Sites-pandora-master-catalog/default/dwbb259ca6/productimages/singlepackshot/",LEFT(A3458,FIND("-",A3458&amp;"-")-1),"_RGB.png"))),"https://us.pandora.net/on/demandware.static/-/Sites-pandora-master-catalog/default/dwbb259ca6/productimages/singlepackshot/797906NRGMX_RGB.png")</f>
        <v>https://us.pandora.net/on/demandware.static/-/Sites-pandora-master-catalog/default/dwbb259ca6/productimages/singlepackshot/797906NRGMX_RGB.png</v>
      </c>
    </row>
    <row r="3459" spans="1:4" x14ac:dyDescent="0.25">
      <c r="A3459" s="3" t="s">
        <v>3461</v>
      </c>
      <c r="B3459" s="4">
        <v>49</v>
      </c>
      <c r="C3459" s="3" t="str">
        <f ca="1">IFERROR(ROWSDUMMYFUNCTION(IF(A3459="","",IFERROR(IMAGE(CONCATENATE("https://us.pandora.net/on/demandware.static/-/Sites-pandora-master-catalog/default/dwbb259ca6/productimages/singlepackshot/",LEFT(A3459,FIND("-",A3459&amp;"-")-1),"_RGB.png")),""))),"{""url"":""https://us.pandora.net/on/demandware.static/-/Sites-pandora-master-catalog/default/dwbb259ca6/productimages/singlepackshot/798009EN16_RGB.png"",""mode"":1}")</f>
        <v>{"url":"https://us.pandora.net/on/demandware.static/-/Sites-pandora-master-catalog/default/dwbb259ca6/productimages/singlepackshot/798009EN16_RGB.png","mode":1}</v>
      </c>
      <c r="D3459" s="5" t="str">
        <f ca="1">IFERROR(ROWSDUMMYFUNCTION(IF(A3459="","",CONCATENATE("https://us.pandora.net/on/demandware.static/-/Sites-pandora-master-catalog/default/dwbb259ca6/productimages/singlepackshot/",LEFT(A3459,FIND("-",A3459&amp;"-")-1),"_RGB.png"))),"https://us.pandora.net/on/demandware.static/-/Sites-pandora-master-catalog/default/dwbb259ca6/productimages/singlepackshot/798009EN16_RGB.png")</f>
        <v>https://us.pandora.net/on/demandware.static/-/Sites-pandora-master-catalog/default/dwbb259ca6/productimages/singlepackshot/798009EN16_RGB.png</v>
      </c>
    </row>
    <row r="3460" spans="1:4" x14ac:dyDescent="0.25">
      <c r="A3460" s="3" t="s">
        <v>3462</v>
      </c>
      <c r="B3460" s="4">
        <v>55</v>
      </c>
      <c r="C3460" s="3" t="str">
        <f ca="1">IFERROR(ROWSDUMMYFUNCTION(IF(A3460="","",IFERROR(IMAGE(CONCATENATE("https://us.pandora.net/on/demandware.static/-/Sites-pandora-master-catalog/default/dwbb259ca6/productimages/singlepackshot/",LEFT(A3460,FIND("-",A3460&amp;"-")-1),"_RGB.png")),""))),"{""url"":""https://us.pandora.net/on/demandware.static/-/Sites-pandora-master-catalog/default/dwbb259ca6/productimages/singlepackshot/798012FPC_RGB.png"",""mode"":1}")</f>
        <v>{"url":"https://us.pandora.net/on/demandware.static/-/Sites-pandora-master-catalog/default/dwbb259ca6/productimages/singlepackshot/798012FPC_RGB.png","mode":1}</v>
      </c>
      <c r="D3460" s="5" t="str">
        <f ca="1">IFERROR(ROWSDUMMYFUNCTION(IF(A3460="","",CONCATENATE("https://us.pandora.net/on/demandware.static/-/Sites-pandora-master-catalog/default/dwbb259ca6/productimages/singlepackshot/",LEFT(A3460,FIND("-",A3460&amp;"-")-1),"_RGB.png"))),"https://us.pandora.net/on/demandware.static/-/Sites-pandora-master-catalog/default/dwbb259ca6/productimages/singlepackshot/798012FPC_RGB.png")</f>
        <v>https://us.pandora.net/on/demandware.static/-/Sites-pandora-master-catalog/default/dwbb259ca6/productimages/singlepackshot/798012FPC_RGB.png</v>
      </c>
    </row>
    <row r="3461" spans="1:4" x14ac:dyDescent="0.25">
      <c r="A3461" s="3" t="s">
        <v>3463</v>
      </c>
      <c r="B3461" s="4">
        <v>49</v>
      </c>
      <c r="C3461" s="3" t="str">
        <f ca="1">IFERROR(ROWSDUMMYFUNCTION(IF(A3461="","",IFERROR(IMAGE(CONCATENATE("https://us.pandora.net/on/demandware.static/-/Sites-pandora-master-catalog/default/dwbb259ca6/productimages/singlepackshot/",LEFT(A3461,FIND("-",A3461&amp;"-")-1),"_RGB.png")),""))),"{""url"":""https://us.pandora.net/on/demandware.static/-/Sites-pandora-master-catalog/default/dwbb259ca6/productimages/singlepackshot/798015ENMX_RGB.png"",""mode"":1}")</f>
        <v>{"url":"https://us.pandora.net/on/demandware.static/-/Sites-pandora-master-catalog/default/dwbb259ca6/productimages/singlepackshot/798015ENMX_RGB.png","mode":1}</v>
      </c>
      <c r="D3461" s="5" t="str">
        <f ca="1">IFERROR(ROWSDUMMYFUNCTION(IF(A3461="","",CONCATENATE("https://us.pandora.net/on/demandware.static/-/Sites-pandora-master-catalog/default/dwbb259ca6/productimages/singlepackshot/",LEFT(A3461,FIND("-",A3461&amp;"-")-1),"_RGB.png"))),"https://us.pandora.net/on/demandware.static/-/Sites-pandora-master-catalog/default/dwbb259ca6/productimages/singlepackshot/798015ENMX_RGB.png")</f>
        <v>https://us.pandora.net/on/demandware.static/-/Sites-pandora-master-catalog/default/dwbb259ca6/productimages/singlepackshot/798015ENMX_RGB.png</v>
      </c>
    </row>
    <row r="3462" spans="1:4" x14ac:dyDescent="0.25">
      <c r="A3462" s="3" t="s">
        <v>3464</v>
      </c>
      <c r="B3462" s="4">
        <v>49</v>
      </c>
      <c r="C3462" s="3" t="str">
        <f ca="1">IFERROR(ROWSDUMMYFUNCTION(IF(A3462="","",IFERROR(IMAGE(CONCATENATE("https://us.pandora.net/on/demandware.static/-/Sites-pandora-master-catalog/default/dwbb259ca6/productimages/singlepackshot/",LEFT(A3462,FIND("-",A3462&amp;"-")-1),"_RGB.png")),""))),"{""url"":""https://us.pandora.net/on/demandware.static/-/Sites-pandora-master-catalog/default/dwbb259ca6/productimages/singlepackshot/798016EN160_RGB.png"",""mode"":1}")</f>
        <v>{"url":"https://us.pandora.net/on/demandware.static/-/Sites-pandora-master-catalog/default/dwbb259ca6/productimages/singlepackshot/798016EN160_RGB.png","mode":1}</v>
      </c>
      <c r="D3462" s="5" t="str">
        <f ca="1">IFERROR(ROWSDUMMYFUNCTION(IF(A3462="","",CONCATENATE("https://us.pandora.net/on/demandware.static/-/Sites-pandora-master-catalog/default/dwbb259ca6/productimages/singlepackshot/",LEFT(A3462,FIND("-",A3462&amp;"-")-1),"_RGB.png"))),"https://us.pandora.net/on/demandware.static/-/Sites-pandora-master-catalog/default/dwbb259ca6/productimages/singlepackshot/798016EN160_RGB.png")</f>
        <v>https://us.pandora.net/on/demandware.static/-/Sites-pandora-master-catalog/default/dwbb259ca6/productimages/singlepackshot/798016EN160_RGB.png</v>
      </c>
    </row>
    <row r="3463" spans="1:4" x14ac:dyDescent="0.25">
      <c r="A3463" s="3" t="s">
        <v>3465</v>
      </c>
      <c r="B3463" s="4">
        <v>69</v>
      </c>
      <c r="C3463" s="3" t="str">
        <f ca="1">IFERROR(ROWSDUMMYFUNCTION(IF(A3463="","",IFERROR(IMAGE(CONCATENATE("https://us.pandora.net/on/demandware.static/-/Sites-pandora-master-catalog/default/dwbb259ca6/productimages/singlepackshot/",LEFT(A3463,FIND("-",A3463&amp;"-")-1),"_RGB.png")),""))),"{""url"":""https://us.pandora.net/on/demandware.static/-/Sites-pandora-master-catalog/default/dwbb259ca6/productimages/singlepackshot/798021CZ_RGB.png"",""mode"":1}")</f>
        <v>{"url":"https://us.pandora.net/on/demandware.static/-/Sites-pandora-master-catalog/default/dwbb259ca6/productimages/singlepackshot/798021CZ_RGB.png","mode":1}</v>
      </c>
      <c r="D3463" s="5" t="str">
        <f ca="1">IFERROR(ROWSDUMMYFUNCTION(IF(A3463="","",CONCATENATE("https://us.pandora.net/on/demandware.static/-/Sites-pandora-master-catalog/default/dwbb259ca6/productimages/singlepackshot/",LEFT(A3463,FIND("-",A3463&amp;"-")-1),"_RGB.png"))),"https://us.pandora.net/on/demandware.static/-/Sites-pandora-master-catalog/default/dwbb259ca6/productimages/singlepackshot/798021CZ_RGB.png")</f>
        <v>https://us.pandora.net/on/demandware.static/-/Sites-pandora-master-catalog/default/dwbb259ca6/productimages/singlepackshot/798021CZ_RGB.png</v>
      </c>
    </row>
    <row r="3464" spans="1:4" x14ac:dyDescent="0.25">
      <c r="A3464" s="3" t="s">
        <v>3466</v>
      </c>
      <c r="B3464" s="4">
        <v>59</v>
      </c>
      <c r="C3464" s="3" t="str">
        <f ca="1">IFERROR(ROWSDUMMYFUNCTION(IF(A3464="","",IFERROR(IMAGE(CONCATENATE("https://us.pandora.net/on/demandware.static/-/Sites-pandora-master-catalog/default/dwbb259ca6/productimages/singlepackshot/",LEFT(A3464,FIND("-",A3464&amp;"-")-1),"_RGB.png")),""))),"{""url"":""https://us.pandora.net/on/demandware.static/-/Sites-pandora-master-catalog/default/dwbb259ca6/productimages/singlepackshot/798027CZ_RGB.png"",""mode"":1}")</f>
        <v>{"url":"https://us.pandora.net/on/demandware.static/-/Sites-pandora-master-catalog/default/dwbb259ca6/productimages/singlepackshot/798027CZ_RGB.png","mode":1}</v>
      </c>
      <c r="D3464" s="5" t="str">
        <f ca="1">IFERROR(ROWSDUMMYFUNCTION(IF(A3464="","",CONCATENATE("https://us.pandora.net/on/demandware.static/-/Sites-pandora-master-catalog/default/dwbb259ca6/productimages/singlepackshot/",LEFT(A3464,FIND("-",A3464&amp;"-")-1),"_RGB.png"))),"https://us.pandora.net/on/demandware.static/-/Sites-pandora-master-catalog/default/dwbb259ca6/productimages/singlepackshot/798027CZ_RGB.png")</f>
        <v>https://us.pandora.net/on/demandware.static/-/Sites-pandora-master-catalog/default/dwbb259ca6/productimages/singlepackshot/798027CZ_RGB.png</v>
      </c>
    </row>
    <row r="3465" spans="1:4" x14ac:dyDescent="0.25">
      <c r="A3465" s="3" t="s">
        <v>3467</v>
      </c>
      <c r="B3465" s="4">
        <v>25</v>
      </c>
      <c r="C3465" s="3" t="str">
        <f ca="1">IFERROR(ROWSDUMMYFUNCTION(IF(A3465="","",IFERROR(IMAGE(CONCATENATE("https://us.pandora.net/on/demandware.static/-/Sites-pandora-master-catalog/default/dwbb259ca6/productimages/singlepackshot/",LEFT(A3465,FIND("-",A3465&amp;"-")-1),"_RGB.png")),""))),"{""url"":""https://us.pandora.net/on/demandware.static/-/Sites-pandora-master-catalog/default/dwbb259ca6/productimages/singlepackshot/798035_RGB.png"",""mode"":1}")</f>
        <v>{"url":"https://us.pandora.net/on/demandware.static/-/Sites-pandora-master-catalog/default/dwbb259ca6/productimages/singlepackshot/798035_RGB.png","mode":1}</v>
      </c>
      <c r="D3465" s="5" t="str">
        <f ca="1">IFERROR(ROWSDUMMYFUNCTION(IF(A3465="","",CONCATENATE("https://us.pandora.net/on/demandware.static/-/Sites-pandora-master-catalog/default/dwbb259ca6/productimages/singlepackshot/",LEFT(A3465,FIND("-",A3465&amp;"-")-1),"_RGB.png"))),"https://us.pandora.net/on/demandware.static/-/Sites-pandora-master-catalog/default/dwbb259ca6/productimages/singlepackshot/798035_RGB.png")</f>
        <v>https://us.pandora.net/on/demandware.static/-/Sites-pandora-master-catalog/default/dwbb259ca6/productimages/singlepackshot/798035_RGB.png</v>
      </c>
    </row>
    <row r="3466" spans="1:4" x14ac:dyDescent="0.25">
      <c r="A3466" s="3" t="s">
        <v>3468</v>
      </c>
      <c r="B3466" s="4">
        <v>39</v>
      </c>
      <c r="C3466" s="3" t="str">
        <f ca="1">IFERROR(ROWSDUMMYFUNCTION(IF(A3466="","",IFERROR(IMAGE(CONCATENATE("https://us.pandora.net/on/demandware.static/-/Sites-pandora-master-catalog/default/dwbb259ca6/productimages/singlepackshot/",LEFT(A3466,FIND("-",A3466&amp;"-")-1),"_RGB.png")),""))),"{""url"":""https://us.pandora.net/on/demandware.static/-/Sites-pandora-master-catalog/default/dwbb259ca6/productimages/singlepackshot/798063EN124_RGB.png"",""mode"":1}")</f>
        <v>{"url":"https://us.pandora.net/on/demandware.static/-/Sites-pandora-master-catalog/default/dwbb259ca6/productimages/singlepackshot/798063EN124_RGB.png","mode":1}</v>
      </c>
      <c r="D3466" s="5" t="str">
        <f ca="1">IFERROR(ROWSDUMMYFUNCTION(IF(A3466="","",CONCATENATE("https://us.pandora.net/on/demandware.static/-/Sites-pandora-master-catalog/default/dwbb259ca6/productimages/singlepackshot/",LEFT(A3466,FIND("-",A3466&amp;"-")-1),"_RGB.png"))),"https://us.pandora.net/on/demandware.static/-/Sites-pandora-master-catalog/default/dwbb259ca6/productimages/singlepackshot/798063EN124_RGB.png")</f>
        <v>https://us.pandora.net/on/demandware.static/-/Sites-pandora-master-catalog/default/dwbb259ca6/productimages/singlepackshot/798063EN124_RGB.png</v>
      </c>
    </row>
    <row r="3467" spans="1:4" x14ac:dyDescent="0.25">
      <c r="A3467" s="3" t="s">
        <v>3469</v>
      </c>
      <c r="B3467" s="4">
        <v>65</v>
      </c>
      <c r="C3467" s="3" t="str">
        <f ca="1">IFERROR(ROWSDUMMYFUNCTION(IF(A3467="","",IFERROR(IMAGE(CONCATENATE("https://us.pandora.net/on/demandware.static/-/Sites-pandora-master-catalog/default/dwbb259ca6/productimages/singlepackshot/",LEFT(A3467,FIND("-",A3467&amp;"-")-1),"_RGB.png")),""))),"{""url"":""https://us.pandora.net/on/demandware.static/-/Sites-pandora-master-catalog/default/dwbb259ca6/productimages/singlepackshot/798064C01_RGB.png"",""mode"":1}")</f>
        <v>{"url":"https://us.pandora.net/on/demandware.static/-/Sites-pandora-master-catalog/default/dwbb259ca6/productimages/singlepackshot/798064C01_RGB.png","mode":1}</v>
      </c>
      <c r="D3467" s="5" t="str">
        <f ca="1">IFERROR(ROWSDUMMYFUNCTION(IF(A3467="","",CONCATENATE("https://us.pandora.net/on/demandware.static/-/Sites-pandora-master-catalog/default/dwbb259ca6/productimages/singlepackshot/",LEFT(A3467,FIND("-",A3467&amp;"-")-1),"_RGB.png"))),"https://us.pandora.net/on/demandware.static/-/Sites-pandora-master-catalog/default/dwbb259ca6/productimages/singlepackshot/798064C01_RGB.png")</f>
        <v>https://us.pandora.net/on/demandware.static/-/Sites-pandora-master-catalog/default/dwbb259ca6/productimages/singlepackshot/798064C01_RGB.png</v>
      </c>
    </row>
    <row r="3468" spans="1:4" x14ac:dyDescent="0.25">
      <c r="A3468" s="3" t="s">
        <v>3470</v>
      </c>
      <c r="B3468" s="4">
        <v>65</v>
      </c>
      <c r="C3468" s="3" t="str">
        <f ca="1">IFERROR(ROWSDUMMYFUNCTION(IF(A3468="","",IFERROR(IMAGE(CONCATENATE("https://us.pandora.net/on/demandware.static/-/Sites-pandora-master-catalog/default/dwbb259ca6/productimages/singlepackshot/",LEFT(A3468,FIND("-",A3468&amp;"-")-1),"_RGB.png")),""))),"{""url"":""https://us.pandora.net/on/demandware.static/-/Sites-pandora-master-catalog/default/dwbb259ca6/productimages/singlepackshot/798064NMB_RGB.png"",""mode"":1}")</f>
        <v>{"url":"https://us.pandora.net/on/demandware.static/-/Sites-pandora-master-catalog/default/dwbb259ca6/productimages/singlepackshot/798064NMB_RGB.png","mode":1}</v>
      </c>
      <c r="D3468" s="5" t="str">
        <f ca="1">IFERROR(ROWSDUMMYFUNCTION(IF(A3468="","",CONCATENATE("https://us.pandora.net/on/demandware.static/-/Sites-pandora-master-catalog/default/dwbb259ca6/productimages/singlepackshot/",LEFT(A3468,FIND("-",A3468&amp;"-")-1),"_RGB.png"))),"https://us.pandora.net/on/demandware.static/-/Sites-pandora-master-catalog/default/dwbb259ca6/productimages/singlepackshot/798064NMB_RGB.png")</f>
        <v>https://us.pandora.net/on/demandware.static/-/Sites-pandora-master-catalog/default/dwbb259ca6/productimages/singlepackshot/798064NMB_RGB.png</v>
      </c>
    </row>
    <row r="3469" spans="1:4" x14ac:dyDescent="0.25">
      <c r="A3469" s="3" t="s">
        <v>3471</v>
      </c>
      <c r="B3469" s="4">
        <v>55</v>
      </c>
      <c r="C3469" s="3" t="str">
        <f ca="1">IFERROR(ROWSDUMMYFUNCTION(IF(A3469="","",IFERROR(IMAGE(CONCATENATE("https://us.pandora.net/on/demandware.static/-/Sites-pandora-master-catalog/default/dwbb259ca6/productimages/singlepackshot/",LEFT(A3469,FIND("-",A3469&amp;"-")-1),"_RGB.png")),""))),"{""url"":""https://us.pandora.net/on/demandware.static/-/Sites-pandora-master-catalog/default/dwbb259ca6/productimages/singlepackshot/798076CZ_RGB.png"",""mode"":1}")</f>
        <v>{"url":"https://us.pandora.net/on/demandware.static/-/Sites-pandora-master-catalog/default/dwbb259ca6/productimages/singlepackshot/798076CZ_RGB.png","mode":1}</v>
      </c>
      <c r="D3469" s="5" t="str">
        <f ca="1">IFERROR(ROWSDUMMYFUNCTION(IF(A3469="","",CONCATENATE("https://us.pandora.net/on/demandware.static/-/Sites-pandora-master-catalog/default/dwbb259ca6/productimages/singlepackshot/",LEFT(A3469,FIND("-",A3469&amp;"-")-1),"_RGB.png"))),"https://us.pandora.net/on/demandware.static/-/Sites-pandora-master-catalog/default/dwbb259ca6/productimages/singlepackshot/798076CZ_RGB.png")</f>
        <v>https://us.pandora.net/on/demandware.static/-/Sites-pandora-master-catalog/default/dwbb259ca6/productimages/singlepackshot/798076CZ_RGB.png</v>
      </c>
    </row>
    <row r="3470" spans="1:4" x14ac:dyDescent="0.25">
      <c r="A3470" s="3" t="s">
        <v>3472</v>
      </c>
      <c r="B3470" s="4">
        <v>25</v>
      </c>
      <c r="C3470" s="3" t="str">
        <f ca="1">IFERROR(ROWSDUMMYFUNCTION(IF(A3470="","",IFERROR(IMAGE(CONCATENATE("https://us.pandora.net/on/demandware.static/-/Sites-pandora-master-catalog/default/dwbb259ca6/productimages/singlepackshot/",LEFT(A3470,FIND("-",A3470&amp;"-")-1),"_RGB.png")),""))),"{""url"":""https://us.pandora.net/on/demandware.static/-/Sites-pandora-master-catalog/default/dwbb259ca6/productimages/singlepackshot/798081_RGB.png"",""mode"":1}")</f>
        <v>{"url":"https://us.pandora.net/on/demandware.static/-/Sites-pandora-master-catalog/default/dwbb259ca6/productimages/singlepackshot/798081_RGB.png","mode":1}</v>
      </c>
      <c r="D3470" s="5" t="str">
        <f ca="1">IFERROR(ROWSDUMMYFUNCTION(IF(A3470="","",CONCATENATE("https://us.pandora.net/on/demandware.static/-/Sites-pandora-master-catalog/default/dwbb259ca6/productimages/singlepackshot/",LEFT(A3470,FIND("-",A3470&amp;"-")-1),"_RGB.png"))),"https://us.pandora.net/on/demandware.static/-/Sites-pandora-master-catalog/default/dwbb259ca6/productimages/singlepackshot/798081_RGB.png")</f>
        <v>https://us.pandora.net/on/demandware.static/-/Sites-pandora-master-catalog/default/dwbb259ca6/productimages/singlepackshot/798081_RGB.png</v>
      </c>
    </row>
    <row r="3471" spans="1:4" x14ac:dyDescent="0.25">
      <c r="A3471" s="3" t="s">
        <v>3473</v>
      </c>
      <c r="B3471" s="4">
        <v>55</v>
      </c>
      <c r="C3471" s="3" t="str">
        <f ca="1">IFERROR(ROWSDUMMYFUNCTION(IF(A3471="","",IFERROR(IMAGE(CONCATENATE("https://us.pandora.net/on/demandware.static/-/Sites-pandora-master-catalog/default/dwbb259ca6/productimages/singlepackshot/",LEFT(A3471,FIND("-",A3471&amp;"-")-1),"_RGB.png")),""))),"{""url"":""https://us.pandora.net/on/demandware.static/-/Sites-pandora-master-catalog/default/dwbb259ca6/productimages/singlepackshot/798106CZ_RGB.png"",""mode"":1}")</f>
        <v>{"url":"https://us.pandora.net/on/demandware.static/-/Sites-pandora-master-catalog/default/dwbb259ca6/productimages/singlepackshot/798106CZ_RGB.png","mode":1}</v>
      </c>
      <c r="D3471" s="5" t="str">
        <f ca="1">IFERROR(ROWSDUMMYFUNCTION(IF(A3471="","",CONCATENATE("https://us.pandora.net/on/demandware.static/-/Sites-pandora-master-catalog/default/dwbb259ca6/productimages/singlepackshot/",LEFT(A3471,FIND("-",A3471&amp;"-")-1),"_RGB.png"))),"https://us.pandora.net/on/demandware.static/-/Sites-pandora-master-catalog/default/dwbb259ca6/productimages/singlepackshot/798106CZ_RGB.png")</f>
        <v>https://us.pandora.net/on/demandware.static/-/Sites-pandora-master-catalog/default/dwbb259ca6/productimages/singlepackshot/798106CZ_RGB.png</v>
      </c>
    </row>
    <row r="3472" spans="1:4" x14ac:dyDescent="0.25">
      <c r="A3472" s="3" t="s">
        <v>3474</v>
      </c>
      <c r="B3472" s="4">
        <v>39</v>
      </c>
      <c r="C3472" s="3" t="str">
        <f ca="1">IFERROR(ROWSDUMMYFUNCTION(IF(A3472="","",IFERROR(IMAGE(CONCATENATE("https://us.pandora.net/on/demandware.static/-/Sites-pandora-master-catalog/default/dwbb259ca6/productimages/singlepackshot/",LEFT(A3472,FIND("-",A3472&amp;"-")-1),"_RGB.png")),""))),"{""url"":""https://us.pandora.net/on/demandware.static/-/Sites-pandora-master-catalog/default/dwbb259ca6/productimages/singlepackshot/798124EN16_RGB.png"",""mode"":1}")</f>
        <v>{"url":"https://us.pandora.net/on/demandware.static/-/Sites-pandora-master-catalog/default/dwbb259ca6/productimages/singlepackshot/798124EN16_RGB.png","mode":1}</v>
      </c>
      <c r="D3472" s="5" t="str">
        <f ca="1">IFERROR(ROWSDUMMYFUNCTION(IF(A3472="","",CONCATENATE("https://us.pandora.net/on/demandware.static/-/Sites-pandora-master-catalog/default/dwbb259ca6/productimages/singlepackshot/",LEFT(A3472,FIND("-",A3472&amp;"-")-1),"_RGB.png"))),"https://us.pandora.net/on/demandware.static/-/Sites-pandora-master-catalog/default/dwbb259ca6/productimages/singlepackshot/798124EN16_RGB.png")</f>
        <v>https://us.pandora.net/on/demandware.static/-/Sites-pandora-master-catalog/default/dwbb259ca6/productimages/singlepackshot/798124EN16_RGB.png</v>
      </c>
    </row>
    <row r="3473" spans="1:4" x14ac:dyDescent="0.25">
      <c r="A3473" s="3" t="s">
        <v>3475</v>
      </c>
      <c r="B3473" s="4">
        <v>55</v>
      </c>
      <c r="C3473" s="3" t="str">
        <f ca="1">IFERROR(ROWSDUMMYFUNCTION(IF(A3473="","",IFERROR(IMAGE(CONCATENATE("https://us.pandora.net/on/demandware.static/-/Sites-pandora-master-catalog/default/dwbb259ca6/productimages/singlepackshot/",LEFT(A3473,FIND("-",A3473&amp;"-")-1),"_RGB.png")),""))),"{""url"":""https://us.pandora.net/on/demandware.static/-/Sites-pandora-master-catalog/default/dwbb259ca6/productimages/singlepackshot/798397NBCB_RGB.png"",""mode"":1}")</f>
        <v>{"url":"https://us.pandora.net/on/demandware.static/-/Sites-pandora-master-catalog/default/dwbb259ca6/productimages/singlepackshot/798397NBCB_RGB.png","mode":1}</v>
      </c>
      <c r="D3473" s="5" t="str">
        <f ca="1">IFERROR(ROWSDUMMYFUNCTION(IF(A3473="","",CONCATENATE("https://us.pandora.net/on/demandware.static/-/Sites-pandora-master-catalog/default/dwbb259ca6/productimages/singlepackshot/",LEFT(A3473,FIND("-",A3473&amp;"-")-1),"_RGB.png"))),"https://us.pandora.net/on/demandware.static/-/Sites-pandora-master-catalog/default/dwbb259ca6/productimages/singlepackshot/798397NBCB_RGB.png")</f>
        <v>https://us.pandora.net/on/demandware.static/-/Sites-pandora-master-catalog/default/dwbb259ca6/productimages/singlepackshot/798397NBCB_RGB.png</v>
      </c>
    </row>
    <row r="3474" spans="1:4" x14ac:dyDescent="0.25">
      <c r="A3474" s="3" t="s">
        <v>3476</v>
      </c>
      <c r="B3474" s="4">
        <v>29</v>
      </c>
      <c r="C3474" s="3" t="str">
        <f ca="1">IFERROR(ROWSDUMMYFUNCTION(IF(A3474="","",IFERROR(IMAGE(CONCATENATE("https://us.pandora.net/on/demandware.static/-/Sites-pandora-master-catalog/default/dwbb259ca6/productimages/singlepackshot/",LEFT(A3474,FIND("-",A3474&amp;"-")-1),"_RGB.png")),""))),"{""url"":""https://us.pandora.net/on/demandware.static/-/Sites-pandora-master-catalog/default/dwbb259ca6/productimages/singlepackshot/798413C00_RGB.png"",""mode"":1}")</f>
        <v>{"url":"https://us.pandora.net/on/demandware.static/-/Sites-pandora-master-catalog/default/dwbb259ca6/productimages/singlepackshot/798413C00_RGB.png","mode":1}</v>
      </c>
      <c r="D3474" s="5" t="str">
        <f ca="1">IFERROR(ROWSDUMMYFUNCTION(IF(A3474="","",CONCATENATE("https://us.pandora.net/on/demandware.static/-/Sites-pandora-master-catalog/default/dwbb259ca6/productimages/singlepackshot/",LEFT(A3474,FIND("-",A3474&amp;"-")-1),"_RGB.png"))),"https://us.pandora.net/on/demandware.static/-/Sites-pandora-master-catalog/default/dwbb259ca6/productimages/singlepackshot/798413C00_RGB.png")</f>
        <v>https://us.pandora.net/on/demandware.static/-/Sites-pandora-master-catalog/default/dwbb259ca6/productimages/singlepackshot/798413C00_RGB.png</v>
      </c>
    </row>
    <row r="3475" spans="1:4" x14ac:dyDescent="0.25">
      <c r="A3475" s="3" t="s">
        <v>3477</v>
      </c>
      <c r="B3475" s="4">
        <v>39</v>
      </c>
      <c r="C3475" s="3" t="str">
        <f ca="1">IFERROR(ROWSDUMMYFUNCTION(IF(A3475="","",IFERROR(IMAGE(CONCATENATE("https://us.pandora.net/on/demandware.static/-/Sites-pandora-master-catalog/default/dwbb259ca6/productimages/singlepackshot/",LEFT(A3475,FIND("-",A3475&amp;"-")-1),"_RGB.png")),""))),"{""url"":""https://us.pandora.net/on/demandware.static/-/Sites-pandora-master-catalog/default/dwbb259ca6/productimages/singlepackshot/798414C01_RGB.png"",""mode"":1}")</f>
        <v>{"url":"https://us.pandora.net/on/demandware.static/-/Sites-pandora-master-catalog/default/dwbb259ca6/productimages/singlepackshot/798414C01_RGB.png","mode":1}</v>
      </c>
      <c r="D3475" s="5" t="str">
        <f ca="1">IFERROR(ROWSDUMMYFUNCTION(IF(A3475="","",CONCATENATE("https://us.pandora.net/on/demandware.static/-/Sites-pandora-master-catalog/default/dwbb259ca6/productimages/singlepackshot/",LEFT(A3475,FIND("-",A3475&amp;"-")-1),"_RGB.png"))),"https://us.pandora.net/on/demandware.static/-/Sites-pandora-master-catalog/default/dwbb259ca6/productimages/singlepackshot/798414C01_RGB.png")</f>
        <v>https://us.pandora.net/on/demandware.static/-/Sites-pandora-master-catalog/default/dwbb259ca6/productimages/singlepackshot/798414C01_RGB.png</v>
      </c>
    </row>
    <row r="3476" spans="1:4" x14ac:dyDescent="0.25">
      <c r="A3476" s="3" t="s">
        <v>3478</v>
      </c>
      <c r="B3476" s="4">
        <v>39</v>
      </c>
      <c r="C3476" s="3" t="str">
        <f ca="1">IFERROR(ROWSDUMMYFUNCTION(IF(A3476="","",IFERROR(IMAGE(CONCATENATE("https://us.pandora.net/on/demandware.static/-/Sites-pandora-master-catalog/default/dwbb259ca6/productimages/singlepackshot/",LEFT(A3476,FIND("-",A3476&amp;"-")-1),"_RGB.png")),""))),"{""url"":""https://us.pandora.net/on/demandware.static/-/Sites-pandora-master-catalog/default/dwbb259ca6/productimages/singlepackshot/798415C01_RGB.png"",""mode"":1}")</f>
        <v>{"url":"https://us.pandora.net/on/demandware.static/-/Sites-pandora-master-catalog/default/dwbb259ca6/productimages/singlepackshot/798415C01_RGB.png","mode":1}</v>
      </c>
      <c r="D3476" s="5" t="str">
        <f ca="1">IFERROR(ROWSDUMMYFUNCTION(IF(A3476="","",CONCATENATE("https://us.pandora.net/on/demandware.static/-/Sites-pandora-master-catalog/default/dwbb259ca6/productimages/singlepackshot/",LEFT(A3476,FIND("-",A3476&amp;"-")-1),"_RGB.png"))),"https://us.pandora.net/on/demandware.static/-/Sites-pandora-master-catalog/default/dwbb259ca6/productimages/singlepackshot/798415C01_RGB.png")</f>
        <v>https://us.pandora.net/on/demandware.static/-/Sites-pandora-master-catalog/default/dwbb259ca6/productimages/singlepackshot/798415C01_RGB.png</v>
      </c>
    </row>
    <row r="3477" spans="1:4" x14ac:dyDescent="0.25">
      <c r="A3477" s="3" t="s">
        <v>3479</v>
      </c>
      <c r="B3477" s="4">
        <v>39</v>
      </c>
      <c r="C3477" s="3" t="str">
        <f ca="1">IFERROR(ROWSDUMMYFUNCTION(IF(A3477="","",IFERROR(IMAGE(CONCATENATE("https://us.pandora.net/on/demandware.static/-/Sites-pandora-master-catalog/default/dwbb259ca6/productimages/singlepackshot/",LEFT(A3477,FIND("-",A3477&amp;"-")-1),"_RGB.png")),""))),"{""url"":""https://us.pandora.net/on/demandware.static/-/Sites-pandora-master-catalog/default/dwbb259ca6/productimages/singlepackshot/798416C01_RGB.png"",""mode"":1}")</f>
        <v>{"url":"https://us.pandora.net/on/demandware.static/-/Sites-pandora-master-catalog/default/dwbb259ca6/productimages/singlepackshot/798416C01_RGB.png","mode":1}</v>
      </c>
      <c r="D3477" s="5" t="str">
        <f ca="1">IFERROR(ROWSDUMMYFUNCTION(IF(A3477="","",CONCATENATE("https://us.pandora.net/on/demandware.static/-/Sites-pandora-master-catalog/default/dwbb259ca6/productimages/singlepackshot/",LEFT(A3477,FIND("-",A3477&amp;"-")-1),"_RGB.png"))),"https://us.pandora.net/on/demandware.static/-/Sites-pandora-master-catalog/default/dwbb259ca6/productimages/singlepackshot/798416C01_RGB.png")</f>
        <v>https://us.pandora.net/on/demandware.static/-/Sites-pandora-master-catalog/default/dwbb259ca6/productimages/singlepackshot/798416C01_RGB.png</v>
      </c>
    </row>
    <row r="3478" spans="1:4" x14ac:dyDescent="0.25">
      <c r="A3478" s="3" t="s">
        <v>3480</v>
      </c>
      <c r="B3478" s="4">
        <v>39</v>
      </c>
      <c r="C3478" s="3" t="str">
        <f ca="1">IFERROR(ROWSDUMMYFUNCTION(IF(A3478="","",IFERROR(IMAGE(CONCATENATE("https://us.pandora.net/on/demandware.static/-/Sites-pandora-master-catalog/default/dwbb259ca6/productimages/singlepackshot/",LEFT(A3478,FIND("-",A3478&amp;"-")-1),"_RGB.png")),""))),"{""url"":""https://us.pandora.net/on/demandware.static/-/Sites-pandora-master-catalog/default/dwbb259ca6/productimages/singlepackshot/798417C01_RGB.png"",""mode"":1}")</f>
        <v>{"url":"https://us.pandora.net/on/demandware.static/-/Sites-pandora-master-catalog/default/dwbb259ca6/productimages/singlepackshot/798417C01_RGB.png","mode":1}</v>
      </c>
      <c r="D3478" s="5" t="str">
        <f ca="1">IFERROR(ROWSDUMMYFUNCTION(IF(A3478="","",CONCATENATE("https://us.pandora.net/on/demandware.static/-/Sites-pandora-master-catalog/default/dwbb259ca6/productimages/singlepackshot/",LEFT(A3478,FIND("-",A3478&amp;"-")-1),"_RGB.png"))),"https://us.pandora.net/on/demandware.static/-/Sites-pandora-master-catalog/default/dwbb259ca6/productimages/singlepackshot/798417C01_RGB.png")</f>
        <v>https://us.pandora.net/on/demandware.static/-/Sites-pandora-master-catalog/default/dwbb259ca6/productimages/singlepackshot/798417C01_RGB.png</v>
      </c>
    </row>
    <row r="3479" spans="1:4" x14ac:dyDescent="0.25">
      <c r="A3479" s="3" t="s">
        <v>3481</v>
      </c>
      <c r="B3479" s="4">
        <v>39</v>
      </c>
      <c r="C3479" s="3" t="str">
        <f ca="1">IFERROR(ROWSDUMMYFUNCTION(IF(A3479="","",IFERROR(IMAGE(CONCATENATE("https://us.pandora.net/on/demandware.static/-/Sites-pandora-master-catalog/default/dwbb259ca6/productimages/singlepackshot/",LEFT(A3479,FIND("-",A3479&amp;"-")-1),"_RGB.png")),""))),"{""url"":""https://us.pandora.net/on/demandware.static/-/Sites-pandora-master-catalog/default/dwbb259ca6/productimages/singlepackshot/798418C01_RGB.png"",""mode"":1}")</f>
        <v>{"url":"https://us.pandora.net/on/demandware.static/-/Sites-pandora-master-catalog/default/dwbb259ca6/productimages/singlepackshot/798418C01_RGB.png","mode":1}</v>
      </c>
      <c r="D3479" s="5" t="str">
        <f ca="1">IFERROR(ROWSDUMMYFUNCTION(IF(A3479="","",CONCATENATE("https://us.pandora.net/on/demandware.static/-/Sites-pandora-master-catalog/default/dwbb259ca6/productimages/singlepackshot/",LEFT(A3479,FIND("-",A3479&amp;"-")-1),"_RGB.png"))),"https://us.pandora.net/on/demandware.static/-/Sites-pandora-master-catalog/default/dwbb259ca6/productimages/singlepackshot/798418C01_RGB.png")</f>
        <v>https://us.pandora.net/on/demandware.static/-/Sites-pandora-master-catalog/default/dwbb259ca6/productimages/singlepackshot/798418C01_RGB.png</v>
      </c>
    </row>
    <row r="3480" spans="1:4" x14ac:dyDescent="0.25">
      <c r="A3480" s="3" t="s">
        <v>3482</v>
      </c>
      <c r="B3480" s="4">
        <v>39</v>
      </c>
      <c r="C3480" s="3" t="str">
        <f ca="1">IFERROR(ROWSDUMMYFUNCTION(IF(A3480="","",IFERROR(IMAGE(CONCATENATE("https://us.pandora.net/on/demandware.static/-/Sites-pandora-master-catalog/default/dwbb259ca6/productimages/singlepackshot/",LEFT(A3480,FIND("-",A3480&amp;"-")-1),"_RGB.png")),""))),"{""url"":""https://us.pandora.net/on/demandware.static/-/Sites-pandora-master-catalog/default/dwbb259ca6/productimages/singlepackshot/798419C01_RGB.png"",""mode"":1}")</f>
        <v>{"url":"https://us.pandora.net/on/demandware.static/-/Sites-pandora-master-catalog/default/dwbb259ca6/productimages/singlepackshot/798419C01_RGB.png","mode":1}</v>
      </c>
      <c r="D3480" s="5" t="str">
        <f ca="1">IFERROR(ROWSDUMMYFUNCTION(IF(A3480="","",CONCATENATE("https://us.pandora.net/on/demandware.static/-/Sites-pandora-master-catalog/default/dwbb259ca6/productimages/singlepackshot/",LEFT(A3480,FIND("-",A3480&amp;"-")-1),"_RGB.png"))),"https://us.pandora.net/on/demandware.static/-/Sites-pandora-master-catalog/default/dwbb259ca6/productimages/singlepackshot/798419C01_RGB.png")</f>
        <v>https://us.pandora.net/on/demandware.static/-/Sites-pandora-master-catalog/default/dwbb259ca6/productimages/singlepackshot/798419C01_RGB.png</v>
      </c>
    </row>
    <row r="3481" spans="1:4" x14ac:dyDescent="0.25">
      <c r="A3481" s="3" t="s">
        <v>3483</v>
      </c>
      <c r="B3481" s="4">
        <v>45</v>
      </c>
      <c r="C3481" s="3" t="str">
        <f ca="1">IFERROR(ROWSDUMMYFUNCTION(IF(A3481="","",IFERROR(IMAGE(CONCATENATE("https://us.pandora.net/on/demandware.static/-/Sites-pandora-master-catalog/default/dwbb259ca6/productimages/singlepackshot/",LEFT(A3481,FIND("-",A3481&amp;"-")-1),"_RGB.png")),""))),"{""url"":""https://us.pandora.net/on/demandware.static/-/Sites-pandora-master-catalog/default/dwbb259ca6/productimages/singlepackshot/798422C01_RGB.png"",""mode"":1}")</f>
        <v>{"url":"https://us.pandora.net/on/demandware.static/-/Sites-pandora-master-catalog/default/dwbb259ca6/productimages/singlepackshot/798422C01_RGB.png","mode":1}</v>
      </c>
      <c r="D3481" s="5" t="str">
        <f ca="1">IFERROR(ROWSDUMMYFUNCTION(IF(A3481="","",CONCATENATE("https://us.pandora.net/on/demandware.static/-/Sites-pandora-master-catalog/default/dwbb259ca6/productimages/singlepackshot/",LEFT(A3481,FIND("-",A3481&amp;"-")-1),"_RGB.png"))),"https://us.pandora.net/on/demandware.static/-/Sites-pandora-master-catalog/default/dwbb259ca6/productimages/singlepackshot/798422C01_RGB.png")</f>
        <v>https://us.pandora.net/on/demandware.static/-/Sites-pandora-master-catalog/default/dwbb259ca6/productimages/singlepackshot/798422C01_RGB.png</v>
      </c>
    </row>
    <row r="3482" spans="1:4" x14ac:dyDescent="0.25">
      <c r="A3482" s="3" t="s">
        <v>3484</v>
      </c>
      <c r="B3482" s="4">
        <v>39</v>
      </c>
      <c r="C3482" s="3" t="str">
        <f ca="1">IFERROR(ROWSDUMMYFUNCTION(IF(A3482="","",IFERROR(IMAGE(CONCATENATE("https://us.pandora.net/on/demandware.static/-/Sites-pandora-master-catalog/default/dwbb259ca6/productimages/singlepackshot/",LEFT(A3482,FIND("-",A3482&amp;"-")-1),"_RGB.png")),""))),"{""url"":""https://us.pandora.net/on/demandware.static/-/Sites-pandora-master-catalog/default/dwbb259ca6/productimages/singlepackshot/798423C01_RGB.png"",""mode"":1}")</f>
        <v>{"url":"https://us.pandora.net/on/demandware.static/-/Sites-pandora-master-catalog/default/dwbb259ca6/productimages/singlepackshot/798423C01_RGB.png","mode":1}</v>
      </c>
      <c r="D3482" s="5" t="str">
        <f ca="1">IFERROR(ROWSDUMMYFUNCTION(IF(A3482="","",CONCATENATE("https://us.pandora.net/on/demandware.static/-/Sites-pandora-master-catalog/default/dwbb259ca6/productimages/singlepackshot/",LEFT(A3482,FIND("-",A3482&amp;"-")-1),"_RGB.png"))),"https://us.pandora.net/on/demandware.static/-/Sites-pandora-master-catalog/default/dwbb259ca6/productimages/singlepackshot/798423C01_RGB.png")</f>
        <v>https://us.pandora.net/on/demandware.static/-/Sites-pandora-master-catalog/default/dwbb259ca6/productimages/singlepackshot/798423C01_RGB.png</v>
      </c>
    </row>
    <row r="3483" spans="1:4" x14ac:dyDescent="0.25">
      <c r="A3483" s="3" t="s">
        <v>3485</v>
      </c>
      <c r="B3483" s="4">
        <v>39</v>
      </c>
      <c r="C3483" s="3" t="str">
        <f ca="1">IFERROR(ROWSDUMMYFUNCTION(IF(A3483="","",IFERROR(IMAGE(CONCATENATE("https://us.pandora.net/on/demandware.static/-/Sites-pandora-master-catalog/default/dwbb259ca6/productimages/singlepackshot/",LEFT(A3483,FIND("-",A3483&amp;"-")-1),"_RGB.png")),""))),"{""url"":""https://us.pandora.net/on/demandware.static/-/Sites-pandora-master-catalog/default/dwbb259ca6/productimages/singlepackshot/798424C01_RGB.png"",""mode"":1}")</f>
        <v>{"url":"https://us.pandora.net/on/demandware.static/-/Sites-pandora-master-catalog/default/dwbb259ca6/productimages/singlepackshot/798424C01_RGB.png","mode":1}</v>
      </c>
      <c r="D3483" s="5" t="str">
        <f ca="1">IFERROR(ROWSDUMMYFUNCTION(IF(A3483="","",CONCATENATE("https://us.pandora.net/on/demandware.static/-/Sites-pandora-master-catalog/default/dwbb259ca6/productimages/singlepackshot/",LEFT(A3483,FIND("-",A3483&amp;"-")-1),"_RGB.png"))),"https://us.pandora.net/on/demandware.static/-/Sites-pandora-master-catalog/default/dwbb259ca6/productimages/singlepackshot/798424C01_RGB.png")</f>
        <v>https://us.pandora.net/on/demandware.static/-/Sites-pandora-master-catalog/default/dwbb259ca6/productimages/singlepackshot/798424C01_RGB.png</v>
      </c>
    </row>
    <row r="3484" spans="1:4" x14ac:dyDescent="0.25">
      <c r="A3484" s="3" t="s">
        <v>3486</v>
      </c>
      <c r="B3484" s="4">
        <v>39</v>
      </c>
      <c r="C3484" s="3" t="str">
        <f ca="1">IFERROR(ROWSDUMMYFUNCTION(IF(A3484="","",IFERROR(IMAGE(CONCATENATE("https://us.pandora.net/on/demandware.static/-/Sites-pandora-master-catalog/default/dwbb259ca6/productimages/singlepackshot/",LEFT(A3484,FIND("-",A3484&amp;"-")-1),"_RGB.png")),""))),"{""url"":""https://us.pandora.net/on/demandware.static/-/Sites-pandora-master-catalog/default/dwbb259ca6/productimages/singlepackshot/798426C01_RGB.png"",""mode"":1}")</f>
        <v>{"url":"https://us.pandora.net/on/demandware.static/-/Sites-pandora-master-catalog/default/dwbb259ca6/productimages/singlepackshot/798426C01_RGB.png","mode":1}</v>
      </c>
      <c r="D3484" s="5" t="str">
        <f ca="1">IFERROR(ROWSDUMMYFUNCTION(IF(A3484="","",CONCATENATE("https://us.pandora.net/on/demandware.static/-/Sites-pandora-master-catalog/default/dwbb259ca6/productimages/singlepackshot/",LEFT(A3484,FIND("-",A3484&amp;"-")-1),"_RGB.png"))),"https://us.pandora.net/on/demandware.static/-/Sites-pandora-master-catalog/default/dwbb259ca6/productimages/singlepackshot/798426C01_RGB.png")</f>
        <v>https://us.pandora.net/on/demandware.static/-/Sites-pandora-master-catalog/default/dwbb259ca6/productimages/singlepackshot/798426C01_RGB.png</v>
      </c>
    </row>
    <row r="3485" spans="1:4" x14ac:dyDescent="0.25">
      <c r="A3485" s="3" t="s">
        <v>3487</v>
      </c>
      <c r="B3485" s="4">
        <v>39</v>
      </c>
      <c r="C3485" s="3" t="str">
        <f ca="1">IFERROR(ROWSDUMMYFUNCTION(IF(A3485="","",IFERROR(IMAGE(CONCATENATE("https://us.pandora.net/on/demandware.static/-/Sites-pandora-master-catalog/default/dwbb259ca6/productimages/singlepackshot/",LEFT(A3485,FIND("-",A3485&amp;"-")-1),"_RGB.png")),""))),"{""url"":""https://us.pandora.net/on/demandware.static/-/Sites-pandora-master-catalog/default/dwbb259ca6/productimages/singlepackshot/798428C01_RGB.png"",""mode"":1}")</f>
        <v>{"url":"https://us.pandora.net/on/demandware.static/-/Sites-pandora-master-catalog/default/dwbb259ca6/productimages/singlepackshot/798428C01_RGB.png","mode":1}</v>
      </c>
      <c r="D3485" s="5" t="str">
        <f ca="1">IFERROR(ROWSDUMMYFUNCTION(IF(A3485="","",CONCATENATE("https://us.pandora.net/on/demandware.static/-/Sites-pandora-master-catalog/default/dwbb259ca6/productimages/singlepackshot/",LEFT(A3485,FIND("-",A3485&amp;"-")-1),"_RGB.png"))),"https://us.pandora.net/on/demandware.static/-/Sites-pandora-master-catalog/default/dwbb259ca6/productimages/singlepackshot/798428C01_RGB.png")</f>
        <v>https://us.pandora.net/on/demandware.static/-/Sites-pandora-master-catalog/default/dwbb259ca6/productimages/singlepackshot/798428C01_RGB.png</v>
      </c>
    </row>
    <row r="3486" spans="1:4" x14ac:dyDescent="0.25">
      <c r="A3486" s="3" t="s">
        <v>3488</v>
      </c>
      <c r="B3486" s="4">
        <v>39</v>
      </c>
      <c r="C3486" s="3" t="str">
        <f ca="1">IFERROR(ROWSDUMMYFUNCTION(IF(A3486="","",IFERROR(IMAGE(CONCATENATE("https://us.pandora.net/on/demandware.static/-/Sites-pandora-master-catalog/default/dwbb259ca6/productimages/singlepackshot/",LEFT(A3486,FIND("-",A3486&amp;"-")-1),"_RGB.png")),""))),"{""url"":""https://us.pandora.net/on/demandware.static/-/Sites-pandora-master-catalog/default/dwbb259ca6/productimages/singlepackshot/798430C01_RGB.png"",""mode"":1}")</f>
        <v>{"url":"https://us.pandora.net/on/demandware.static/-/Sites-pandora-master-catalog/default/dwbb259ca6/productimages/singlepackshot/798430C01_RGB.png","mode":1}</v>
      </c>
      <c r="D3486" s="5" t="str">
        <f ca="1">IFERROR(ROWSDUMMYFUNCTION(IF(A3486="","",CONCATENATE("https://us.pandora.net/on/demandware.static/-/Sites-pandora-master-catalog/default/dwbb259ca6/productimages/singlepackshot/",LEFT(A3486,FIND("-",A3486&amp;"-")-1),"_RGB.png"))),"https://us.pandora.net/on/demandware.static/-/Sites-pandora-master-catalog/default/dwbb259ca6/productimages/singlepackshot/798430C01_RGB.png")</f>
        <v>https://us.pandora.net/on/demandware.static/-/Sites-pandora-master-catalog/default/dwbb259ca6/productimages/singlepackshot/798430C01_RGB.png</v>
      </c>
    </row>
    <row r="3487" spans="1:4" x14ac:dyDescent="0.25">
      <c r="A3487" s="3" t="s">
        <v>3489</v>
      </c>
      <c r="B3487" s="4">
        <v>39</v>
      </c>
      <c r="C3487" s="3" t="str">
        <f ca="1">IFERROR(ROWSDUMMYFUNCTION(IF(A3487="","",IFERROR(IMAGE(CONCATENATE("https://us.pandora.net/on/demandware.static/-/Sites-pandora-master-catalog/default/dwbb259ca6/productimages/singlepackshot/",LEFT(A3487,FIND("-",A3487&amp;"-")-1),"_RGB.png")),""))),"{""url"":""https://us.pandora.net/on/demandware.static/-/Sites-pandora-master-catalog/default/dwbb259ca6/productimages/singlepackshot/798431C01_RGB.png"",""mode"":1}")</f>
        <v>{"url":"https://us.pandora.net/on/demandware.static/-/Sites-pandora-master-catalog/default/dwbb259ca6/productimages/singlepackshot/798431C01_RGB.png","mode":1}</v>
      </c>
      <c r="D3487" s="5" t="str">
        <f ca="1">IFERROR(ROWSDUMMYFUNCTION(IF(A3487="","",CONCATENATE("https://us.pandora.net/on/demandware.static/-/Sites-pandora-master-catalog/default/dwbb259ca6/productimages/singlepackshot/",LEFT(A3487,FIND("-",A3487&amp;"-")-1),"_RGB.png"))),"https://us.pandora.net/on/demandware.static/-/Sites-pandora-master-catalog/default/dwbb259ca6/productimages/singlepackshot/798431C01_RGB.png")</f>
        <v>https://us.pandora.net/on/demandware.static/-/Sites-pandora-master-catalog/default/dwbb259ca6/productimages/singlepackshot/798431C01_RGB.png</v>
      </c>
    </row>
    <row r="3488" spans="1:4" x14ac:dyDescent="0.25">
      <c r="A3488" s="3" t="s">
        <v>3490</v>
      </c>
      <c r="B3488" s="4">
        <v>39</v>
      </c>
      <c r="C3488" s="3" t="str">
        <f ca="1">IFERROR(ROWSDUMMYFUNCTION(IF(A3488="","",IFERROR(IMAGE(CONCATENATE("https://us.pandora.net/on/demandware.static/-/Sites-pandora-master-catalog/default/dwbb259ca6/productimages/singlepackshot/",LEFT(A3488,FIND("-",A3488&amp;"-")-1),"_RGB.png")),""))),"{""url"":""https://us.pandora.net/on/demandware.static/-/Sites-pandora-master-catalog/default/dwbb259ca6/productimages/singlepackshot/798434C01_RGB.png"",""mode"":1}")</f>
        <v>{"url":"https://us.pandora.net/on/demandware.static/-/Sites-pandora-master-catalog/default/dwbb259ca6/productimages/singlepackshot/798434C01_RGB.png","mode":1}</v>
      </c>
      <c r="D3488" s="5" t="str">
        <f ca="1">IFERROR(ROWSDUMMYFUNCTION(IF(A3488="","",CONCATENATE("https://us.pandora.net/on/demandware.static/-/Sites-pandora-master-catalog/default/dwbb259ca6/productimages/singlepackshot/",LEFT(A3488,FIND("-",A3488&amp;"-")-1),"_RGB.png"))),"https://us.pandora.net/on/demandware.static/-/Sites-pandora-master-catalog/default/dwbb259ca6/productimages/singlepackshot/798434C01_RGB.png")</f>
        <v>https://us.pandora.net/on/demandware.static/-/Sites-pandora-master-catalog/default/dwbb259ca6/productimages/singlepackshot/798434C01_RGB.png</v>
      </c>
    </row>
    <row r="3489" spans="1:4" x14ac:dyDescent="0.25">
      <c r="A3489" s="3" t="s">
        <v>3491</v>
      </c>
      <c r="B3489" s="4">
        <v>59</v>
      </c>
      <c r="C3489" s="3" t="str">
        <f ca="1">IFERROR(ROWSDUMMYFUNCTION(IF(A3489="","",IFERROR(IMAGE(CONCATENATE("https://us.pandora.net/on/demandware.static/-/Sites-pandora-master-catalog/default/dwbb259ca6/productimages/singlepackshot/",LEFT(A3489,FIND("-",A3489&amp;"-")-1),"_RGB.png")),""))),"{""url"":""https://us.pandora.net/on/demandware.static/-/Sites-pandora-master-catalog/default/dwbb259ca6/productimages/singlepackshot/798485C01_RGB.png"",""mode"":1}")</f>
        <v>{"url":"https://us.pandora.net/on/demandware.static/-/Sites-pandora-master-catalog/default/dwbb259ca6/productimages/singlepackshot/798485C01_RGB.png","mode":1}</v>
      </c>
      <c r="D3489" s="5" t="str">
        <f ca="1">IFERROR(ROWSDUMMYFUNCTION(IF(A3489="","",CONCATENATE("https://us.pandora.net/on/demandware.static/-/Sites-pandora-master-catalog/default/dwbb259ca6/productimages/singlepackshot/",LEFT(A3489,FIND("-",A3489&amp;"-")-1),"_RGB.png"))),"https://us.pandora.net/on/demandware.static/-/Sites-pandora-master-catalog/default/dwbb259ca6/productimages/singlepackshot/798485C01_RGB.png")</f>
        <v>https://us.pandora.net/on/demandware.static/-/Sites-pandora-master-catalog/default/dwbb259ca6/productimages/singlepackshot/798485C01_RGB.png</v>
      </c>
    </row>
    <row r="3490" spans="1:4" x14ac:dyDescent="0.25">
      <c r="A3490" s="3" t="s">
        <v>3492</v>
      </c>
      <c r="B3490" s="4">
        <v>29</v>
      </c>
      <c r="C3490" s="3" t="str">
        <f ca="1">IFERROR(ROWSDUMMYFUNCTION(IF(A3490="","",IFERROR(IMAGE(CONCATENATE("https://us.pandora.net/on/demandware.static/-/Sites-pandora-master-catalog/default/dwbb259ca6/productimages/singlepackshot/",LEFT(A3490,FIND("-",A3490&amp;"-")-1),"_RGB.png")),""))),"{""url"":""https://us.pandora.net/on/demandware.static/-/Sites-pandora-master-catalog/default/dwbb259ca6/productimages/singlepackshot/798571C00_RGB.png"",""mode"":1}")</f>
        <v>{"url":"https://us.pandora.net/on/demandware.static/-/Sites-pandora-master-catalog/default/dwbb259ca6/productimages/singlepackshot/798571C00_RGB.png","mode":1}</v>
      </c>
      <c r="D3490" s="5" t="str">
        <f ca="1">IFERROR(ROWSDUMMYFUNCTION(IF(A3490="","",CONCATENATE("https://us.pandora.net/on/demandware.static/-/Sites-pandora-master-catalog/default/dwbb259ca6/productimages/singlepackshot/",LEFT(A3490,FIND("-",A3490&amp;"-")-1),"_RGB.png"))),"https://us.pandora.net/on/demandware.static/-/Sites-pandora-master-catalog/default/dwbb259ca6/productimages/singlepackshot/798571C00_RGB.png")</f>
        <v>https://us.pandora.net/on/demandware.static/-/Sites-pandora-master-catalog/default/dwbb259ca6/productimages/singlepackshot/798571C00_RGB.png</v>
      </c>
    </row>
    <row r="3491" spans="1:4" x14ac:dyDescent="0.25">
      <c r="A3491" s="3" t="s">
        <v>3493</v>
      </c>
      <c r="B3491" s="4">
        <v>35</v>
      </c>
      <c r="C3491" s="3" t="str">
        <f ca="1">IFERROR(ROWSDUMMYFUNCTION(IF(A3491="","",IFERROR(IMAGE(CONCATENATE("https://us.pandora.net/on/demandware.static/-/Sites-pandora-master-catalog/default/dwbb259ca6/productimages/singlepackshot/",LEFT(A3491,FIND("-",A3491&amp;"-")-1),"_RGB.png")),""))),"{""url"":""https://us.pandora.net/on/demandware.static/-/Sites-pandora-master-catalog/default/dwbb259ca6/productimages/singlepackshot/798614C01_RGB.png"",""mode"":1}")</f>
        <v>{"url":"https://us.pandora.net/on/demandware.static/-/Sites-pandora-master-catalog/default/dwbb259ca6/productimages/singlepackshot/798614C01_RGB.png","mode":1}</v>
      </c>
      <c r="D3491" s="5" t="str">
        <f ca="1">IFERROR(ROWSDUMMYFUNCTION(IF(A3491="","",CONCATENATE("https://us.pandora.net/on/demandware.static/-/Sites-pandora-master-catalog/default/dwbb259ca6/productimages/singlepackshot/",LEFT(A3491,FIND("-",A3491&amp;"-")-1),"_RGB.png"))),"https://us.pandora.net/on/demandware.static/-/Sites-pandora-master-catalog/default/dwbb259ca6/productimages/singlepackshot/798614C01_RGB.png")</f>
        <v>https://us.pandora.net/on/demandware.static/-/Sites-pandora-master-catalog/default/dwbb259ca6/productimages/singlepackshot/798614C01_RGB.png</v>
      </c>
    </row>
    <row r="3492" spans="1:4" x14ac:dyDescent="0.25">
      <c r="A3492" s="3" t="s">
        <v>3494</v>
      </c>
      <c r="B3492" s="4">
        <v>55</v>
      </c>
      <c r="C3492" s="3" t="str">
        <f ca="1">IFERROR(ROWSDUMMYFUNCTION(IF(A3492="","",IFERROR(IMAGE(CONCATENATE("https://us.pandora.net/on/demandware.static/-/Sites-pandora-master-catalog/default/dwbb259ca6/productimages/singlepackshot/",LEFT(A3492,FIND("-",A3492&amp;"-")-1),"_RGB.png")),""))),"{""url"":""https://us.pandora.net/on/demandware.static/-/Sites-pandora-master-catalog/default/dwbb259ca6/productimages/singlepackshot/798692C01_RGB.png"",""mode"":1}")</f>
        <v>{"url":"https://us.pandora.net/on/demandware.static/-/Sites-pandora-master-catalog/default/dwbb259ca6/productimages/singlepackshot/798692C01_RGB.png","mode":1}</v>
      </c>
      <c r="D3492" s="5" t="str">
        <f ca="1">IFERROR(ROWSDUMMYFUNCTION(IF(A3492="","",CONCATENATE("https://us.pandora.net/on/demandware.static/-/Sites-pandora-master-catalog/default/dwbb259ca6/productimages/singlepackshot/",LEFT(A3492,FIND("-",A3492&amp;"-")-1),"_RGB.png"))),"https://us.pandora.net/on/demandware.static/-/Sites-pandora-master-catalog/default/dwbb259ca6/productimages/singlepackshot/798692C01_RGB.png")</f>
        <v>https://us.pandora.net/on/demandware.static/-/Sites-pandora-master-catalog/default/dwbb259ca6/productimages/singlepackshot/798692C01_RGB.png</v>
      </c>
    </row>
    <row r="3493" spans="1:4" x14ac:dyDescent="0.25">
      <c r="A3493" s="3" t="s">
        <v>3495</v>
      </c>
      <c r="B3493" s="4">
        <v>55</v>
      </c>
      <c r="C3493" s="3" t="str">
        <f ca="1">IFERROR(ROWSDUMMYFUNCTION(IF(A3493="","",IFERROR(IMAGE(CONCATENATE("https://us.pandora.net/on/demandware.static/-/Sites-pandora-master-catalog/default/dwbb259ca6/productimages/singlepackshot/",LEFT(A3493,FIND("-",A3493&amp;"-")-1),"_RGB.png")),""))),"{""url"":""https://us.pandora.net/on/demandware.static/-/Sites-pandora-master-catalog/default/dwbb259ca6/productimages/singlepackshot/798747C01_RGB.png"",""mode"":1}")</f>
        <v>{"url":"https://us.pandora.net/on/demandware.static/-/Sites-pandora-master-catalog/default/dwbb259ca6/productimages/singlepackshot/798747C01_RGB.png","mode":1}</v>
      </c>
      <c r="D3493" s="5" t="str">
        <f ca="1">IFERROR(ROWSDUMMYFUNCTION(IF(A3493="","",CONCATENATE("https://us.pandora.net/on/demandware.static/-/Sites-pandora-master-catalog/default/dwbb259ca6/productimages/singlepackshot/",LEFT(A3493,FIND("-",A3493&amp;"-")-1),"_RGB.png"))),"https://us.pandora.net/on/demandware.static/-/Sites-pandora-master-catalog/default/dwbb259ca6/productimages/singlepackshot/798747C01_RGB.png")</f>
        <v>https://us.pandora.net/on/demandware.static/-/Sites-pandora-master-catalog/default/dwbb259ca6/productimages/singlepackshot/798747C01_RGB.png</v>
      </c>
    </row>
    <row r="3494" spans="1:4" x14ac:dyDescent="0.25">
      <c r="A3494" s="3" t="s">
        <v>3496</v>
      </c>
      <c r="B3494" s="4">
        <v>39</v>
      </c>
      <c r="C3494" s="3" t="str">
        <f ca="1">IFERROR(ROWSDUMMYFUNCTION(IF(A3494="","",IFERROR(IMAGE(CONCATENATE("https://us.pandora.net/on/demandware.static/-/Sites-pandora-master-catalog/default/dwbb259ca6/productimages/singlepackshot/",LEFT(A3494,FIND("-",A3494&amp;"-")-1),"_RGB.png")),""))),"{""url"":""https://us.pandora.net/on/demandware.static/-/Sites-pandora-master-catalog/default/dwbb259ca6/productimages/singlepackshot/798761C01_RGB.png"",""mode"":1}")</f>
        <v>{"url":"https://us.pandora.net/on/demandware.static/-/Sites-pandora-master-catalog/default/dwbb259ca6/productimages/singlepackshot/798761C01_RGB.png","mode":1}</v>
      </c>
      <c r="D3494" s="5" t="str">
        <f ca="1">IFERROR(ROWSDUMMYFUNCTION(IF(A3494="","",CONCATENATE("https://us.pandora.net/on/demandware.static/-/Sites-pandora-master-catalog/default/dwbb259ca6/productimages/singlepackshot/",LEFT(A3494,FIND("-",A3494&amp;"-")-1),"_RGB.png"))),"https://us.pandora.net/on/demandware.static/-/Sites-pandora-master-catalog/default/dwbb259ca6/productimages/singlepackshot/798761C01_RGB.png")</f>
        <v>https://us.pandora.net/on/demandware.static/-/Sites-pandora-master-catalog/default/dwbb259ca6/productimages/singlepackshot/798761C01_RGB.png</v>
      </c>
    </row>
    <row r="3495" spans="1:4" x14ac:dyDescent="0.25">
      <c r="A3495" s="3" t="s">
        <v>3497</v>
      </c>
      <c r="B3495" s="4">
        <v>39</v>
      </c>
      <c r="C3495" s="3" t="str">
        <f ca="1">IFERROR(ROWSDUMMYFUNCTION(IF(A3495="","",IFERROR(IMAGE(CONCATENATE("https://us.pandora.net/on/demandware.static/-/Sites-pandora-master-catalog/default/dwbb259ca6/productimages/singlepackshot/",LEFT(A3495,FIND("-",A3495&amp;"-")-1),"_RGB.png")),""))),"{""url"":""https://us.pandora.net/on/demandware.static/-/Sites-pandora-master-catalog/default/dwbb259ca6/productimages/singlepackshot/798763C00_RGB.png"",""mode"":1}")</f>
        <v>{"url":"https://us.pandora.net/on/demandware.static/-/Sites-pandora-master-catalog/default/dwbb259ca6/productimages/singlepackshot/798763C00_RGB.png","mode":1}</v>
      </c>
      <c r="D3495" s="5" t="str">
        <f ca="1">IFERROR(ROWSDUMMYFUNCTION(IF(A3495="","",CONCATENATE("https://us.pandora.net/on/demandware.static/-/Sites-pandora-master-catalog/default/dwbb259ca6/productimages/singlepackshot/",LEFT(A3495,FIND("-",A3495&amp;"-")-1),"_RGB.png"))),"https://us.pandora.net/on/demandware.static/-/Sites-pandora-master-catalog/default/dwbb259ca6/productimages/singlepackshot/798763C00_RGB.png")</f>
        <v>https://us.pandora.net/on/demandware.static/-/Sites-pandora-master-catalog/default/dwbb259ca6/productimages/singlepackshot/798763C00_RGB.png</v>
      </c>
    </row>
    <row r="3496" spans="1:4" x14ac:dyDescent="0.25">
      <c r="A3496" s="3" t="s">
        <v>3498</v>
      </c>
      <c r="B3496" s="4">
        <v>45</v>
      </c>
      <c r="C3496" s="3" t="str">
        <f ca="1">IFERROR(ROWSDUMMYFUNCTION(IF(A3496="","",IFERROR(IMAGE(CONCATENATE("https://us.pandora.net/on/demandware.static/-/Sites-pandora-master-catalog/default/dwbb259ca6/productimages/singlepackshot/",LEFT(A3496,FIND("-",A3496&amp;"-")-1),"_RGB.png")),""))),"{""url"":""https://us.pandora.net/on/demandware.static/-/Sites-pandora-master-catalog/default/dwbb259ca6/productimages/singlepackshot/798764C01_RGB.png"",""mode"":1}")</f>
        <v>{"url":"https://us.pandora.net/on/demandware.static/-/Sites-pandora-master-catalog/default/dwbb259ca6/productimages/singlepackshot/798764C01_RGB.png","mode":1}</v>
      </c>
      <c r="D3496" s="5" t="str">
        <f ca="1">IFERROR(ROWSDUMMYFUNCTION(IF(A3496="","",CONCATENATE("https://us.pandora.net/on/demandware.static/-/Sites-pandora-master-catalog/default/dwbb259ca6/productimages/singlepackshot/",LEFT(A3496,FIND("-",A3496&amp;"-")-1),"_RGB.png"))),"https://us.pandora.net/on/demandware.static/-/Sites-pandora-master-catalog/default/dwbb259ca6/productimages/singlepackshot/798764C01_RGB.png")</f>
        <v>https://us.pandora.net/on/demandware.static/-/Sites-pandora-master-catalog/default/dwbb259ca6/productimages/singlepackshot/798764C01_RGB.png</v>
      </c>
    </row>
    <row r="3497" spans="1:4" x14ac:dyDescent="0.25">
      <c r="A3497" s="3" t="s">
        <v>3499</v>
      </c>
      <c r="B3497" s="4">
        <v>35</v>
      </c>
      <c r="C3497" s="3" t="str">
        <f ca="1">IFERROR(ROWSDUMMYFUNCTION(IF(A3497="","",IFERROR(IMAGE(CONCATENATE("https://us.pandora.net/on/demandware.static/-/Sites-pandora-master-catalog/default/dwbb259ca6/productimages/singlepackshot/",LEFT(A3497,FIND("-",A3497&amp;"-")-1),"_RGB.png")),""))),"{""url"":""https://us.pandora.net/on/demandware.static/-/Sites-pandora-master-catalog/default/dwbb259ca6/productimages/singlepackshot/798772C02_RGB.png"",""mode"":1}")</f>
        <v>{"url":"https://us.pandora.net/on/demandware.static/-/Sites-pandora-master-catalog/default/dwbb259ca6/productimages/singlepackshot/798772C02_RGB.png","mode":1}</v>
      </c>
      <c r="D3497" s="5" t="str">
        <f ca="1">IFERROR(ROWSDUMMYFUNCTION(IF(A3497="","",CONCATENATE("https://us.pandora.net/on/demandware.static/-/Sites-pandora-master-catalog/default/dwbb259ca6/productimages/singlepackshot/",LEFT(A3497,FIND("-",A3497&amp;"-")-1),"_RGB.png"))),"https://us.pandora.net/on/demandware.static/-/Sites-pandora-master-catalog/default/dwbb259ca6/productimages/singlepackshot/798772C02_RGB.png")</f>
        <v>https://us.pandora.net/on/demandware.static/-/Sites-pandora-master-catalog/default/dwbb259ca6/productimages/singlepackshot/798772C02_RGB.png</v>
      </c>
    </row>
    <row r="3498" spans="1:4" x14ac:dyDescent="0.25">
      <c r="A3498" s="3" t="s">
        <v>3500</v>
      </c>
      <c r="B3498" s="4">
        <v>19</v>
      </c>
      <c r="C3498" s="3" t="str">
        <f ca="1">IFERROR(ROWSDUMMYFUNCTION(IF(A3498="","",IFERROR(IMAGE(CONCATENATE("https://us.pandora.net/on/demandware.static/-/Sites-pandora-master-catalog/default/dwbb259ca6/productimages/singlepackshot/",LEFT(A3498,FIND("-",A3498&amp;"-")-1),"_RGB.png")),""))),"{""url"":""https://us.pandora.net/on/demandware.static/-/Sites-pandora-master-catalog/default/dwbb259ca6/productimages/singlepackshot/798825C00_RGB.png"",""mode"":1}")</f>
        <v>{"url":"https://us.pandora.net/on/demandware.static/-/Sites-pandora-master-catalog/default/dwbb259ca6/productimages/singlepackshot/798825C00_RGB.png","mode":1}</v>
      </c>
      <c r="D3498" s="5" t="str">
        <f ca="1">IFERROR(ROWSDUMMYFUNCTION(IF(A3498="","",CONCATENATE("https://us.pandora.net/on/demandware.static/-/Sites-pandora-master-catalog/default/dwbb259ca6/productimages/singlepackshot/",LEFT(A3498,FIND("-",A3498&amp;"-")-1),"_RGB.png"))),"https://us.pandora.net/on/demandware.static/-/Sites-pandora-master-catalog/default/dwbb259ca6/productimages/singlepackshot/798825C00_RGB.png")</f>
        <v>https://us.pandora.net/on/demandware.static/-/Sites-pandora-master-catalog/default/dwbb259ca6/productimages/singlepackshot/798825C00_RGB.png</v>
      </c>
    </row>
    <row r="3499" spans="1:4" x14ac:dyDescent="0.25">
      <c r="A3499" s="3" t="s">
        <v>3501</v>
      </c>
      <c r="B3499" s="4">
        <v>59</v>
      </c>
      <c r="C3499" s="3" t="str">
        <f ca="1">IFERROR(ROWSDUMMYFUNCTION(IF(A3499="","",IFERROR(IMAGE(CONCATENATE("https://us.pandora.net/on/demandware.static/-/Sites-pandora-master-catalog/default/dwbb259ca6/productimages/singlepackshot/",LEFT(A3499,FIND("-",A3499&amp;"-")-1),"_RGB.png")),""))),"{""url"":""https://us.pandora.net/on/demandware.static/-/Sites-pandora-master-catalog/default/dwbb259ca6/productimages/singlepackshot/798844C01_RGB.png"",""mode"":1}")</f>
        <v>{"url":"https://us.pandora.net/on/demandware.static/-/Sites-pandora-master-catalog/default/dwbb259ca6/productimages/singlepackshot/798844C01_RGB.png","mode":1}</v>
      </c>
      <c r="D3499" s="5" t="str">
        <f ca="1">IFERROR(ROWSDUMMYFUNCTION(IF(A3499="","",CONCATENATE("https://us.pandora.net/on/demandware.static/-/Sites-pandora-master-catalog/default/dwbb259ca6/productimages/singlepackshot/",LEFT(A3499,FIND("-",A3499&amp;"-")-1),"_RGB.png"))),"https://us.pandora.net/on/demandware.static/-/Sites-pandora-master-catalog/default/dwbb259ca6/productimages/singlepackshot/798844C01_RGB.png")</f>
        <v>https://us.pandora.net/on/demandware.static/-/Sites-pandora-master-catalog/default/dwbb259ca6/productimages/singlepackshot/798844C01_RGB.png</v>
      </c>
    </row>
    <row r="3500" spans="1:4" x14ac:dyDescent="0.25">
      <c r="A3500" s="3" t="s">
        <v>3502</v>
      </c>
      <c r="B3500" s="4">
        <v>59</v>
      </c>
      <c r="C3500" s="3" t="str">
        <f ca="1">IFERROR(ROWSDUMMYFUNCTION(IF(A3500="","",IFERROR(IMAGE(CONCATENATE("https://us.pandora.net/on/demandware.static/-/Sites-pandora-master-catalog/default/dwbb259ca6/productimages/singlepackshot/",LEFT(A3500,FIND("-",A3500&amp;"-")-1),"_RGB.png")),""))),"{""url"":""https://us.pandora.net/on/demandware.static/-/Sites-pandora-master-catalog/default/dwbb259ca6/productimages/singlepackshot/798848C01_RGB.png"",""mode"":1}")</f>
        <v>{"url":"https://us.pandora.net/on/demandware.static/-/Sites-pandora-master-catalog/default/dwbb259ca6/productimages/singlepackshot/798848C01_RGB.png","mode":1}</v>
      </c>
      <c r="D3500" s="5" t="str">
        <f ca="1">IFERROR(ROWSDUMMYFUNCTION(IF(A3500="","",CONCATENATE("https://us.pandora.net/on/demandware.static/-/Sites-pandora-master-catalog/default/dwbb259ca6/productimages/singlepackshot/",LEFT(A3500,FIND("-",A3500&amp;"-")-1),"_RGB.png"))),"https://us.pandora.net/on/demandware.static/-/Sites-pandora-master-catalog/default/dwbb259ca6/productimages/singlepackshot/798848C01_RGB.png")</f>
        <v>https://us.pandora.net/on/demandware.static/-/Sites-pandora-master-catalog/default/dwbb259ca6/productimages/singlepackshot/798848C01_RGB.png</v>
      </c>
    </row>
    <row r="3501" spans="1:4" x14ac:dyDescent="0.25">
      <c r="A3501" s="3" t="s">
        <v>3503</v>
      </c>
      <c r="B3501" s="4">
        <v>19</v>
      </c>
      <c r="C3501" s="3" t="str">
        <f ca="1">IFERROR(ROWSDUMMYFUNCTION(IF(A3501="","",IFERROR(IMAGE(CONCATENATE("https://us.pandora.net/on/demandware.static/-/Sites-pandora-master-catalog/default/dwbb259ca6/productimages/singlepackshot/",LEFT(A3501,FIND("-",A3501&amp;"-")-1),"_RGB.png")),""))),"{""url"":""https://us.pandora.net/on/demandware.static/-/Sites-pandora-master-catalog/default/dwbb259ca6/productimages/singlepackshot/798869C00_RGB.png"",""mode"":1}")</f>
        <v>{"url":"https://us.pandora.net/on/demandware.static/-/Sites-pandora-master-catalog/default/dwbb259ca6/productimages/singlepackshot/798869C00_RGB.png","mode":1}</v>
      </c>
      <c r="D3501" s="5" t="str">
        <f ca="1">IFERROR(ROWSDUMMYFUNCTION(IF(A3501="","",CONCATENATE("https://us.pandora.net/on/demandware.static/-/Sites-pandora-master-catalog/default/dwbb259ca6/productimages/singlepackshot/",LEFT(A3501,FIND("-",A3501&amp;"-")-1),"_RGB.png"))),"https://us.pandora.net/on/demandware.static/-/Sites-pandora-master-catalog/default/dwbb259ca6/productimages/singlepackshot/798869C00_RGB.png")</f>
        <v>https://us.pandora.net/on/demandware.static/-/Sites-pandora-master-catalog/default/dwbb259ca6/productimages/singlepackshot/798869C00_RGB.png</v>
      </c>
    </row>
    <row r="3502" spans="1:4" x14ac:dyDescent="0.25">
      <c r="A3502" s="3" t="s">
        <v>3504</v>
      </c>
      <c r="B3502" s="4">
        <v>35</v>
      </c>
      <c r="C3502" s="3" t="str">
        <f ca="1">IFERROR(ROWSDUMMYFUNCTION(IF(A3502="","",IFERROR(IMAGE(CONCATENATE("https://us.pandora.net/on/demandware.static/-/Sites-pandora-master-catalog/default/dwbb259ca6/productimages/singlepackshot/",LEFT(A3502,FIND("-",A3502&amp;"-")-1),"_RGB.png")),""))),"{""url"":""https://us.pandora.net/on/demandware.static/-/Sites-pandora-master-catalog/default/dwbb259ca6/productimages/singlepackshot/798872C00_RGB.png"",""mode"":1}")</f>
        <v>{"url":"https://us.pandora.net/on/demandware.static/-/Sites-pandora-master-catalog/default/dwbb259ca6/productimages/singlepackshot/798872C00_RGB.png","mode":1}</v>
      </c>
      <c r="D3502" s="5" t="str">
        <f ca="1">IFERROR(ROWSDUMMYFUNCTION(IF(A3502="","",CONCATENATE("https://us.pandora.net/on/demandware.static/-/Sites-pandora-master-catalog/default/dwbb259ca6/productimages/singlepackshot/",LEFT(A3502,FIND("-",A3502&amp;"-")-1),"_RGB.png"))),"https://us.pandora.net/on/demandware.static/-/Sites-pandora-master-catalog/default/dwbb259ca6/productimages/singlepackshot/798872C00_RGB.png")</f>
        <v>https://us.pandora.net/on/demandware.static/-/Sites-pandora-master-catalog/default/dwbb259ca6/productimages/singlepackshot/798872C00_RGB.png</v>
      </c>
    </row>
    <row r="3503" spans="1:4" x14ac:dyDescent="0.25">
      <c r="A3503" s="3" t="s">
        <v>3505</v>
      </c>
      <c r="B3503" s="4">
        <v>49</v>
      </c>
      <c r="C3503" s="3" t="str">
        <f ca="1">IFERROR(ROWSDUMMYFUNCTION(IF(A3503="","",IFERROR(IMAGE(CONCATENATE("https://us.pandora.net/on/demandware.static/-/Sites-pandora-master-catalog/default/dwbb259ca6/productimages/singlepackshot/",LEFT(A3503,FIND("-",A3503&amp;"-")-1),"_RGB.png")),""))),"{""url"":""https://us.pandora.net/on/demandware.static/-/Sites-pandora-master-catalog/default/dwbb259ca6/productimages/singlepackshot/798873C01_RGB.png"",""mode"":1}")</f>
        <v>{"url":"https://us.pandora.net/on/demandware.static/-/Sites-pandora-master-catalog/default/dwbb259ca6/productimages/singlepackshot/798873C01_RGB.png","mode":1}</v>
      </c>
      <c r="D3503" s="5" t="str">
        <f ca="1">IFERROR(ROWSDUMMYFUNCTION(IF(A3503="","",CONCATENATE("https://us.pandora.net/on/demandware.static/-/Sites-pandora-master-catalog/default/dwbb259ca6/productimages/singlepackshot/",LEFT(A3503,FIND("-",A3503&amp;"-")-1),"_RGB.png"))),"https://us.pandora.net/on/demandware.static/-/Sites-pandora-master-catalog/default/dwbb259ca6/productimages/singlepackshot/798873C01_RGB.png")</f>
        <v>https://us.pandora.net/on/demandware.static/-/Sites-pandora-master-catalog/default/dwbb259ca6/productimages/singlepackshot/798873C01_RGB.png</v>
      </c>
    </row>
    <row r="3504" spans="1:4" x14ac:dyDescent="0.25">
      <c r="A3504" s="3" t="s">
        <v>3506</v>
      </c>
      <c r="B3504" s="4">
        <v>35</v>
      </c>
      <c r="C3504" s="3" t="str">
        <f ca="1">IFERROR(ROWSDUMMYFUNCTION(IF(A3504="","",IFERROR(IMAGE(CONCATENATE("https://us.pandora.net/on/demandware.static/-/Sites-pandora-master-catalog/default/dwbb259ca6/productimages/singlepackshot/",LEFT(A3504,FIND("-",A3504&amp;"-")-1),"_RGB.png")),""))),"{""url"":""https://us.pandora.net/on/demandware.static/-/Sites-pandora-master-catalog/default/dwbb259ca6/productimages/singlepackshot/798875C00_RGB.png"",""mode"":1}")</f>
        <v>{"url":"https://us.pandora.net/on/demandware.static/-/Sites-pandora-master-catalog/default/dwbb259ca6/productimages/singlepackshot/798875C00_RGB.png","mode":1}</v>
      </c>
      <c r="D3504" s="5" t="str">
        <f ca="1">IFERROR(ROWSDUMMYFUNCTION(IF(A3504="","",CONCATENATE("https://us.pandora.net/on/demandware.static/-/Sites-pandora-master-catalog/default/dwbb259ca6/productimages/singlepackshot/",LEFT(A3504,FIND("-",A3504&amp;"-")-1),"_RGB.png"))),"https://us.pandora.net/on/demandware.static/-/Sites-pandora-master-catalog/default/dwbb259ca6/productimages/singlepackshot/798875C00_RGB.png")</f>
        <v>https://us.pandora.net/on/demandware.static/-/Sites-pandora-master-catalog/default/dwbb259ca6/productimages/singlepackshot/798875C00_RGB.png</v>
      </c>
    </row>
    <row r="3505" spans="1:4" x14ac:dyDescent="0.25">
      <c r="A3505" s="3" t="s">
        <v>3507</v>
      </c>
      <c r="B3505" s="4">
        <v>69</v>
      </c>
      <c r="C3505" s="3" t="str">
        <f ca="1">IFERROR(ROWSDUMMYFUNCTION(IF(A3505="","",IFERROR(IMAGE(CONCATENATE("https://us.pandora.net/on/demandware.static/-/Sites-pandora-master-catalog/default/dwbb259ca6/productimages/singlepackshot/",LEFT(A3505,FIND("-",A3505&amp;"-")-1),"_RGB.png")),""))),"{""url"":""https://us.pandora.net/on/demandware.static/-/Sites-pandora-master-catalog/default/dwbb259ca6/productimages/singlepackshot/798880C02_RGB.png"",""mode"":1}")</f>
        <v>{"url":"https://us.pandora.net/on/demandware.static/-/Sites-pandora-master-catalog/default/dwbb259ca6/productimages/singlepackshot/798880C02_RGB.png","mode":1}</v>
      </c>
      <c r="D3505" s="5" t="str">
        <f ca="1">IFERROR(ROWSDUMMYFUNCTION(IF(A3505="","",CONCATENATE("https://us.pandora.net/on/demandware.static/-/Sites-pandora-master-catalog/default/dwbb259ca6/productimages/singlepackshot/",LEFT(A3505,FIND("-",A3505&amp;"-")-1),"_RGB.png"))),"https://us.pandora.net/on/demandware.static/-/Sites-pandora-master-catalog/default/dwbb259ca6/productimages/singlepackshot/798880C02_RGB.png")</f>
        <v>https://us.pandora.net/on/demandware.static/-/Sites-pandora-master-catalog/default/dwbb259ca6/productimages/singlepackshot/798880C02_RGB.png</v>
      </c>
    </row>
    <row r="3506" spans="1:4" x14ac:dyDescent="0.25">
      <c r="A3506" s="3" t="s">
        <v>3508</v>
      </c>
      <c r="B3506" s="4">
        <v>55</v>
      </c>
      <c r="C3506" s="3" t="str">
        <f ca="1">IFERROR(ROWSDUMMYFUNCTION(IF(A3506="","",IFERROR(IMAGE(CONCATENATE("https://us.pandora.net/on/demandware.static/-/Sites-pandora-master-catalog/default/dwbb259ca6/productimages/singlepackshot/",LEFT(A3506,FIND("-",A3506&amp;"-")-1),"_RGB.png")),""))),"{""url"":""https://us.pandora.net/on/demandware.static/-/Sites-pandora-master-catalog/default/dwbb259ca6/productimages/singlepackshot/798887C01_RGB.png"",""mode"":1}")</f>
        <v>{"url":"https://us.pandora.net/on/demandware.static/-/Sites-pandora-master-catalog/default/dwbb259ca6/productimages/singlepackshot/798887C01_RGB.png","mode":1}</v>
      </c>
      <c r="D3506" s="5" t="str">
        <f ca="1">IFERROR(ROWSDUMMYFUNCTION(IF(A3506="","",CONCATENATE("https://us.pandora.net/on/demandware.static/-/Sites-pandora-master-catalog/default/dwbb259ca6/productimages/singlepackshot/",LEFT(A3506,FIND("-",A3506&amp;"-")-1),"_RGB.png"))),"https://us.pandora.net/on/demandware.static/-/Sites-pandora-master-catalog/default/dwbb259ca6/productimages/singlepackshot/798887C01_RGB.png")</f>
        <v>https://us.pandora.net/on/demandware.static/-/Sites-pandora-master-catalog/default/dwbb259ca6/productimages/singlepackshot/798887C01_RGB.png</v>
      </c>
    </row>
    <row r="3507" spans="1:4" x14ac:dyDescent="0.25">
      <c r="A3507" s="3" t="s">
        <v>3509</v>
      </c>
      <c r="B3507" s="4">
        <v>65</v>
      </c>
      <c r="C3507" s="3" t="str">
        <f ca="1">IFERROR(ROWSDUMMYFUNCTION(IF(A3507="","",IFERROR(IMAGE(CONCATENATE("https://us.pandora.net/on/demandware.static/-/Sites-pandora-master-catalog/default/dwbb259ca6/productimages/singlepackshot/",LEFT(A3507,FIND("-",A3507&amp;"-")-1),"_RGB.png")),""))),"{""url"":""https://us.pandora.net/on/demandware.static/-/Sites-pandora-master-catalog/default/dwbb259ca6/productimages/singlepackshot/798888C01_RGB.png"",""mode"":1}")</f>
        <v>{"url":"https://us.pandora.net/on/demandware.static/-/Sites-pandora-master-catalog/default/dwbb259ca6/productimages/singlepackshot/798888C01_RGB.png","mode":1}</v>
      </c>
      <c r="D3507" s="5" t="str">
        <f ca="1">IFERROR(ROWSDUMMYFUNCTION(IF(A3507="","",CONCATENATE("https://us.pandora.net/on/demandware.static/-/Sites-pandora-master-catalog/default/dwbb259ca6/productimages/singlepackshot/",LEFT(A3507,FIND("-",A3507&amp;"-")-1),"_RGB.png"))),"https://us.pandora.net/on/demandware.static/-/Sites-pandora-master-catalog/default/dwbb259ca6/productimages/singlepackshot/798888C01_RGB.png")</f>
        <v>https://us.pandora.net/on/demandware.static/-/Sites-pandora-master-catalog/default/dwbb259ca6/productimages/singlepackshot/798888C01_RGB.png</v>
      </c>
    </row>
    <row r="3508" spans="1:4" x14ac:dyDescent="0.25">
      <c r="A3508" s="3" t="s">
        <v>3510</v>
      </c>
      <c r="B3508" s="4">
        <v>49</v>
      </c>
      <c r="C3508" s="3" t="str">
        <f ca="1">IFERROR(ROWSDUMMYFUNCTION(IF(A3508="","",IFERROR(IMAGE(CONCATENATE("https://us.pandora.net/on/demandware.static/-/Sites-pandora-master-catalog/default/dwbb259ca6/productimages/singlepackshot/",LEFT(A3508,FIND("-",A3508&amp;"-")-1),"_RGB.png")),""))),"{""url"":""https://us.pandora.net/on/demandware.static/-/Sites-pandora-master-catalog/default/dwbb259ca6/productimages/singlepackshot/798896C01_RGB.png"",""mode"":1}")</f>
        <v>{"url":"https://us.pandora.net/on/demandware.static/-/Sites-pandora-master-catalog/default/dwbb259ca6/productimages/singlepackshot/798896C01_RGB.png","mode":1}</v>
      </c>
      <c r="D3508" s="5" t="str">
        <f ca="1">IFERROR(ROWSDUMMYFUNCTION(IF(A3508="","",CONCATENATE("https://us.pandora.net/on/demandware.static/-/Sites-pandora-master-catalog/default/dwbb259ca6/productimages/singlepackshot/",LEFT(A3508,FIND("-",A3508&amp;"-")-1),"_RGB.png"))),"https://us.pandora.net/on/demandware.static/-/Sites-pandora-master-catalog/default/dwbb259ca6/productimages/singlepackshot/798896C01_RGB.png")</f>
        <v>https://us.pandora.net/on/demandware.static/-/Sites-pandora-master-catalog/default/dwbb259ca6/productimages/singlepackshot/798896C01_RGB.png</v>
      </c>
    </row>
    <row r="3509" spans="1:4" x14ac:dyDescent="0.25">
      <c r="A3509" s="3" t="s">
        <v>3511</v>
      </c>
      <c r="B3509" s="4">
        <v>69</v>
      </c>
      <c r="C3509" s="3" t="str">
        <f ca="1">IFERROR(ROWSDUMMYFUNCTION(IF(A3509="","",IFERROR(IMAGE(CONCATENATE("https://us.pandora.net/on/demandware.static/-/Sites-pandora-master-catalog/default/dwbb259ca6/productimages/singlepackshot/",LEFT(A3509,FIND("-",A3509&amp;"-")-1),"_RGB.png")),""))),"{""url"":""https://us.pandora.net/on/demandware.static/-/Sites-pandora-master-catalog/default/dwbb259ca6/productimages/singlepackshot/798905C01_RGB.png"",""mode"":1}")</f>
        <v>{"url":"https://us.pandora.net/on/demandware.static/-/Sites-pandora-master-catalog/default/dwbb259ca6/productimages/singlepackshot/798905C01_RGB.png","mode":1}</v>
      </c>
      <c r="D3509" s="5" t="str">
        <f ca="1">IFERROR(ROWSDUMMYFUNCTION(IF(A3509="","",CONCATENATE("https://us.pandora.net/on/demandware.static/-/Sites-pandora-master-catalog/default/dwbb259ca6/productimages/singlepackshot/",LEFT(A3509,FIND("-",A3509&amp;"-")-1),"_RGB.png"))),"https://us.pandora.net/on/demandware.static/-/Sites-pandora-master-catalog/default/dwbb259ca6/productimages/singlepackshot/798905C01_RGB.png")</f>
        <v>https://us.pandora.net/on/demandware.static/-/Sites-pandora-master-catalog/default/dwbb259ca6/productimages/singlepackshot/798905C01_RGB.png</v>
      </c>
    </row>
    <row r="3510" spans="1:4" x14ac:dyDescent="0.25">
      <c r="A3510" s="3" t="s">
        <v>3512</v>
      </c>
      <c r="B3510" s="4">
        <v>55</v>
      </c>
      <c r="C3510" s="3" t="str">
        <f ca="1">IFERROR(ROWSDUMMYFUNCTION(IF(A3510="","",IFERROR(IMAGE(CONCATENATE("https://us.pandora.net/on/demandware.static/-/Sites-pandora-master-catalog/default/dwbb259ca6/productimages/singlepackshot/",LEFT(A3510,FIND("-",A3510&amp;"-")-1),"_RGB.png")),""))),"{""url"":""https://us.pandora.net/on/demandware.static/-/Sites-pandora-master-catalog/default/dwbb259ca6/productimages/singlepackshot/798907C01_RGB.png"",""mode"":1}")</f>
        <v>{"url":"https://us.pandora.net/on/demandware.static/-/Sites-pandora-master-catalog/default/dwbb259ca6/productimages/singlepackshot/798907C01_RGB.png","mode":1}</v>
      </c>
      <c r="D3510" s="5" t="str">
        <f ca="1">IFERROR(ROWSDUMMYFUNCTION(IF(A3510="","",CONCATENATE("https://us.pandora.net/on/demandware.static/-/Sites-pandora-master-catalog/default/dwbb259ca6/productimages/singlepackshot/",LEFT(A3510,FIND("-",A3510&amp;"-")-1),"_RGB.png"))),"https://us.pandora.net/on/demandware.static/-/Sites-pandora-master-catalog/default/dwbb259ca6/productimages/singlepackshot/798907C01_RGB.png")</f>
        <v>https://us.pandora.net/on/demandware.static/-/Sites-pandora-master-catalog/default/dwbb259ca6/productimages/singlepackshot/798907C01_RGB.png</v>
      </c>
    </row>
    <row r="3511" spans="1:4" x14ac:dyDescent="0.25">
      <c r="A3511" s="3" t="s">
        <v>3513</v>
      </c>
      <c r="B3511" s="4">
        <v>39</v>
      </c>
      <c r="C3511" s="3" t="str">
        <f ca="1">IFERROR(ROWSDUMMYFUNCTION(IF(A3511="","",IFERROR(IMAGE(CONCATENATE("https://us.pandora.net/on/demandware.static/-/Sites-pandora-master-catalog/default/dwbb259ca6/productimages/singlepackshot/",LEFT(A3511,FIND("-",A3511&amp;"-")-1),"_RGB.png")),""))),"{""url"":""https://us.pandora.net/on/demandware.static/-/Sites-pandora-master-catalog/default/dwbb259ca6/productimages/singlepackshot/798927C00_RGB.png"",""mode"":1}")</f>
        <v>{"url":"https://us.pandora.net/on/demandware.static/-/Sites-pandora-master-catalog/default/dwbb259ca6/productimages/singlepackshot/798927C00_RGB.png","mode":1}</v>
      </c>
      <c r="D3511" s="5" t="str">
        <f ca="1">IFERROR(ROWSDUMMYFUNCTION(IF(A3511="","",CONCATENATE("https://us.pandora.net/on/demandware.static/-/Sites-pandora-master-catalog/default/dwbb259ca6/productimages/singlepackshot/",LEFT(A3511,FIND("-",A3511&amp;"-")-1),"_RGB.png"))),"https://us.pandora.net/on/demandware.static/-/Sites-pandora-master-catalog/default/dwbb259ca6/productimages/singlepackshot/798927C00_RGB.png")</f>
        <v>https://us.pandora.net/on/demandware.static/-/Sites-pandora-master-catalog/default/dwbb259ca6/productimages/singlepackshot/798927C00_RGB.png</v>
      </c>
    </row>
    <row r="3512" spans="1:4" x14ac:dyDescent="0.25">
      <c r="A3512" s="3" t="s">
        <v>3514</v>
      </c>
      <c r="B3512" s="4">
        <v>35</v>
      </c>
      <c r="C3512" s="3" t="str">
        <f ca="1">IFERROR(ROWSDUMMYFUNCTION(IF(A3512="","",IFERROR(IMAGE(CONCATENATE("https://us.pandora.net/on/demandware.static/-/Sites-pandora-master-catalog/default/dwbb259ca6/productimages/singlepackshot/",LEFT(A3512,FIND("-",A3512&amp;"-")-1),"_RGB.png")),""))),"{""url"":""https://us.pandora.net/on/demandware.static/-/Sites-pandora-master-catalog/default/dwbb259ca6/productimages/singlepackshot/798938C00_RGB.png"",""mode"":1}")</f>
        <v>{"url":"https://us.pandora.net/on/demandware.static/-/Sites-pandora-master-catalog/default/dwbb259ca6/productimages/singlepackshot/798938C00_RGB.png","mode":1}</v>
      </c>
      <c r="D3512" s="5" t="str">
        <f ca="1">IFERROR(ROWSDUMMYFUNCTION(IF(A3512="","",CONCATENATE("https://us.pandora.net/on/demandware.static/-/Sites-pandora-master-catalog/default/dwbb259ca6/productimages/singlepackshot/",LEFT(A3512,FIND("-",A3512&amp;"-")-1),"_RGB.png"))),"https://us.pandora.net/on/demandware.static/-/Sites-pandora-master-catalog/default/dwbb259ca6/productimages/singlepackshot/798938C00_RGB.png")</f>
        <v>https://us.pandora.net/on/demandware.static/-/Sites-pandora-master-catalog/default/dwbb259ca6/productimages/singlepackshot/798938C00_RGB.png</v>
      </c>
    </row>
    <row r="3513" spans="1:4" x14ac:dyDescent="0.25">
      <c r="A3513" s="3" t="s">
        <v>3515</v>
      </c>
      <c r="B3513" s="4">
        <v>65</v>
      </c>
      <c r="C3513" s="3" t="str">
        <f ca="1">IFERROR(ROWSDUMMYFUNCTION(IF(A3513="","",IFERROR(IMAGE(CONCATENATE("https://us.pandora.net/on/demandware.static/-/Sites-pandora-master-catalog/default/dwbb259ca6/productimages/singlepackshot/",LEFT(A3513,FIND("-",A3513&amp;"-")-1),"_RGB.png")),""))),"{""url"":""https://us.pandora.net/on/demandware.static/-/Sites-pandora-master-catalog/default/dwbb259ca6/productimages/singlepackshot/798939C01_RGB.png"",""mode"":1}")</f>
        <v>{"url":"https://us.pandora.net/on/demandware.static/-/Sites-pandora-master-catalog/default/dwbb259ca6/productimages/singlepackshot/798939C01_RGB.png","mode":1}</v>
      </c>
      <c r="D3513" s="5" t="str">
        <f ca="1">IFERROR(ROWSDUMMYFUNCTION(IF(A3513="","",CONCATENATE("https://us.pandora.net/on/demandware.static/-/Sites-pandora-master-catalog/default/dwbb259ca6/productimages/singlepackshot/",LEFT(A3513,FIND("-",A3513&amp;"-")-1),"_RGB.png"))),"https://us.pandora.net/on/demandware.static/-/Sites-pandora-master-catalog/default/dwbb259ca6/productimages/singlepackshot/798939C01_RGB.png")</f>
        <v>https://us.pandora.net/on/demandware.static/-/Sites-pandora-master-catalog/default/dwbb259ca6/productimages/singlepackshot/798939C01_RGB.png</v>
      </c>
    </row>
    <row r="3514" spans="1:4" x14ac:dyDescent="0.25">
      <c r="A3514" s="3" t="s">
        <v>3516</v>
      </c>
      <c r="B3514" s="4">
        <v>65</v>
      </c>
      <c r="C3514" s="3" t="str">
        <f ca="1">IFERROR(ROWSDUMMYFUNCTION(IF(A3514="","",IFERROR(IMAGE(CONCATENATE("https://us.pandora.net/on/demandware.static/-/Sites-pandora-master-catalog/default/dwbb259ca6/productimages/singlepackshot/",LEFT(A3514,FIND("-",A3514&amp;"-")-1),"_RGB.png")),""))),"{""url"":""https://us.pandora.net/on/demandware.static/-/Sites-pandora-master-catalog/default/dwbb259ca6/productimages/singlepackshot/798939C02_RGB.png"",""mode"":1}")</f>
        <v>{"url":"https://us.pandora.net/on/demandware.static/-/Sites-pandora-master-catalog/default/dwbb259ca6/productimages/singlepackshot/798939C02_RGB.png","mode":1}</v>
      </c>
      <c r="D3514" s="5" t="str">
        <f ca="1">IFERROR(ROWSDUMMYFUNCTION(IF(A3514="","",CONCATENATE("https://us.pandora.net/on/demandware.static/-/Sites-pandora-master-catalog/default/dwbb259ca6/productimages/singlepackshot/",LEFT(A3514,FIND("-",A3514&amp;"-")-1),"_RGB.png"))),"https://us.pandora.net/on/demandware.static/-/Sites-pandora-master-catalog/default/dwbb259ca6/productimages/singlepackshot/798939C02_RGB.png")</f>
        <v>https://us.pandora.net/on/demandware.static/-/Sites-pandora-master-catalog/default/dwbb259ca6/productimages/singlepackshot/798939C02_RGB.png</v>
      </c>
    </row>
    <row r="3515" spans="1:4" x14ac:dyDescent="0.25">
      <c r="A3515" s="3" t="s">
        <v>3517</v>
      </c>
      <c r="B3515" s="4">
        <v>29</v>
      </c>
      <c r="C3515" s="3" t="str">
        <f ca="1">IFERROR(ROWSDUMMYFUNCTION(IF(A3515="","",IFERROR(IMAGE(CONCATENATE("https://us.pandora.net/on/demandware.static/-/Sites-pandora-master-catalog/default/dwbb259ca6/productimages/singlepackshot/",LEFT(A3515,FIND("-",A3515&amp;"-")-1),"_RGB.png")),""))),"{""url"":""https://us.pandora.net/on/demandware.static/-/Sites-pandora-master-catalog/default/dwbb259ca6/productimages/singlepackshot/798950C00_RGB.png"",""mode"":1}")</f>
        <v>{"url":"https://us.pandora.net/on/demandware.static/-/Sites-pandora-master-catalog/default/dwbb259ca6/productimages/singlepackshot/798950C00_RGB.png","mode":1}</v>
      </c>
      <c r="D3515" s="5" t="str">
        <f ca="1">IFERROR(ROWSDUMMYFUNCTION(IF(A3515="","",CONCATENATE("https://us.pandora.net/on/demandware.static/-/Sites-pandora-master-catalog/default/dwbb259ca6/productimages/singlepackshot/",LEFT(A3515,FIND("-",A3515&amp;"-")-1),"_RGB.png"))),"https://us.pandora.net/on/demandware.static/-/Sites-pandora-master-catalog/default/dwbb259ca6/productimages/singlepackshot/798950C00_RGB.png")</f>
        <v>https://us.pandora.net/on/demandware.static/-/Sites-pandora-master-catalog/default/dwbb259ca6/productimages/singlepackshot/798950C00_RGB.png</v>
      </c>
    </row>
    <row r="3516" spans="1:4" x14ac:dyDescent="0.25">
      <c r="A3516" s="3" t="s">
        <v>3518</v>
      </c>
      <c r="B3516" s="4">
        <v>69</v>
      </c>
      <c r="C3516" s="3" t="str">
        <f ca="1">IFERROR(ROWSDUMMYFUNCTION(IF(A3516="","",IFERROR(IMAGE(CONCATENATE("https://us.pandora.net/on/demandware.static/-/Sites-pandora-master-catalog/default/dwbb259ca6/productimages/singlepackshot/",LEFT(A3516,FIND("-",A3516&amp;"-")-1),"_RGB.png")),""))),"{""url"":""https://us.pandora.net/on/demandware.static/-/Sites-pandora-master-catalog/default/dwbb259ca6/productimages/singlepackshot/798962C01_RGB.png"",""mode"":1}")</f>
        <v>{"url":"https://us.pandora.net/on/demandware.static/-/Sites-pandora-master-catalog/default/dwbb259ca6/productimages/singlepackshot/798962C01_RGB.png","mode":1}</v>
      </c>
      <c r="D3516" s="5" t="str">
        <f ca="1">IFERROR(ROWSDUMMYFUNCTION(IF(A3516="","",CONCATENATE("https://us.pandora.net/on/demandware.static/-/Sites-pandora-master-catalog/default/dwbb259ca6/productimages/singlepackshot/",LEFT(A3516,FIND("-",A3516&amp;"-")-1),"_RGB.png"))),"https://us.pandora.net/on/demandware.static/-/Sites-pandora-master-catalog/default/dwbb259ca6/productimages/singlepackshot/798962C01_RGB.png")</f>
        <v>https://us.pandora.net/on/demandware.static/-/Sites-pandora-master-catalog/default/dwbb259ca6/productimages/singlepackshot/798962C01_RGB.png</v>
      </c>
    </row>
    <row r="3517" spans="1:4" x14ac:dyDescent="0.25">
      <c r="A3517" s="3" t="s">
        <v>3519</v>
      </c>
      <c r="B3517" s="4">
        <v>79</v>
      </c>
      <c r="C3517" s="3" t="str">
        <f ca="1">IFERROR(ROWSDUMMYFUNCTION(IF(A3517="","",IFERROR(IMAGE(CONCATENATE("https://us.pandora.net/on/demandware.static/-/Sites-pandora-master-catalog/default/dwbb259ca6/productimages/singlepackshot/",LEFT(A3517,FIND("-",A3517&amp;"-")-1),"_RGB.png")),""))),"{""url"":""https://us.pandora.net/on/demandware.static/-/Sites-pandora-master-catalog/default/dwbb259ca6/productimages/singlepackshot/799014C01_RGB.png"",""mode"":1}")</f>
        <v>{"url":"https://us.pandora.net/on/demandware.static/-/Sites-pandora-master-catalog/default/dwbb259ca6/productimages/singlepackshot/799014C01_RGB.png","mode":1}</v>
      </c>
      <c r="D3517" s="5" t="str">
        <f ca="1">IFERROR(ROWSDUMMYFUNCTION(IF(A3517="","",CONCATENATE("https://us.pandora.net/on/demandware.static/-/Sites-pandora-master-catalog/default/dwbb259ca6/productimages/singlepackshot/",LEFT(A3517,FIND("-",A3517&amp;"-")-1),"_RGB.png"))),"https://us.pandora.net/on/demandware.static/-/Sites-pandora-master-catalog/default/dwbb259ca6/productimages/singlepackshot/799014C01_RGB.png")</f>
        <v>https://us.pandora.net/on/demandware.static/-/Sites-pandora-master-catalog/default/dwbb259ca6/productimages/singlepackshot/799014C01_RGB.png</v>
      </c>
    </row>
    <row r="3518" spans="1:4" x14ac:dyDescent="0.25">
      <c r="A3518" s="3" t="s">
        <v>3520</v>
      </c>
      <c r="B3518" s="4">
        <v>59</v>
      </c>
      <c r="C3518" s="3" t="str">
        <f ca="1">IFERROR(ROWSDUMMYFUNCTION(IF(A3518="","",IFERROR(IMAGE(CONCATENATE("https://us.pandora.net/on/demandware.static/-/Sites-pandora-master-catalog/default/dwbb259ca6/productimages/singlepackshot/",LEFT(A3518,FIND("-",A3518&amp;"-")-1),"_RGB.png")),""))),"{""url"":""https://us.pandora.net/on/demandware.static/-/Sites-pandora-master-catalog/default/dwbb259ca6/productimages/singlepackshot/799015C01_RGB.png"",""mode"":1}")</f>
        <v>{"url":"https://us.pandora.net/on/demandware.static/-/Sites-pandora-master-catalog/default/dwbb259ca6/productimages/singlepackshot/799015C01_RGB.png","mode":1}</v>
      </c>
      <c r="D3518" s="5" t="str">
        <f ca="1">IFERROR(ROWSDUMMYFUNCTION(IF(A3518="","",CONCATENATE("https://us.pandora.net/on/demandware.static/-/Sites-pandora-master-catalog/default/dwbb259ca6/productimages/singlepackshot/",LEFT(A3518,FIND("-",A3518&amp;"-")-1),"_RGB.png"))),"https://us.pandora.net/on/demandware.static/-/Sites-pandora-master-catalog/default/dwbb259ca6/productimages/singlepackshot/799015C01_RGB.png")</f>
        <v>https://us.pandora.net/on/demandware.static/-/Sites-pandora-master-catalog/default/dwbb259ca6/productimages/singlepackshot/799015C01_RGB.png</v>
      </c>
    </row>
    <row r="3519" spans="1:4" x14ac:dyDescent="0.25">
      <c r="A3519" s="3" t="s">
        <v>3521</v>
      </c>
      <c r="B3519" s="4">
        <v>35</v>
      </c>
      <c r="C3519" s="3" t="str">
        <f ca="1">IFERROR(ROWSDUMMYFUNCTION(IF(A3519="","",IFERROR(IMAGE(CONCATENATE("https://us.pandora.net/on/demandware.static/-/Sites-pandora-master-catalog/default/dwbb259ca6/productimages/singlepackshot/",LEFT(A3519,FIND("-",A3519&amp;"-")-1),"_RGB.png")),""))),"{""url"":""https://us.pandora.net/on/demandware.static/-/Sites-pandora-master-catalog/default/dwbb259ca6/productimages/singlepackshot/799072C01_RGB.png"",""mode"":1}")</f>
        <v>{"url":"https://us.pandora.net/on/demandware.static/-/Sites-pandora-master-catalog/default/dwbb259ca6/productimages/singlepackshot/799072C01_RGB.png","mode":1}</v>
      </c>
      <c r="D3519" s="5" t="str">
        <f ca="1">IFERROR(ROWSDUMMYFUNCTION(IF(A3519="","",CONCATENATE("https://us.pandora.net/on/demandware.static/-/Sites-pandora-master-catalog/default/dwbb259ca6/productimages/singlepackshot/",LEFT(A3519,FIND("-",A3519&amp;"-")-1),"_RGB.png"))),"https://us.pandora.net/on/demandware.static/-/Sites-pandora-master-catalog/default/dwbb259ca6/productimages/singlepackshot/799072C01_RGB.png")</f>
        <v>https://us.pandora.net/on/demandware.static/-/Sites-pandora-master-catalog/default/dwbb259ca6/productimages/singlepackshot/799072C01_RGB.png</v>
      </c>
    </row>
    <row r="3520" spans="1:4" x14ac:dyDescent="0.25">
      <c r="A3520" s="3" t="s">
        <v>3522</v>
      </c>
      <c r="B3520" s="4">
        <v>39</v>
      </c>
      <c r="C3520" s="3" t="str">
        <f ca="1">IFERROR(ROWSDUMMYFUNCTION(IF(A3520="","",IFERROR(IMAGE(CONCATENATE("https://us.pandora.net/on/demandware.static/-/Sites-pandora-master-catalog/default/dwbb259ca6/productimages/singlepackshot/",LEFT(A3520,FIND("-",A3520&amp;"-")-1),"_RGB.png")),""))),"{""url"":""https://us.pandora.net/on/demandware.static/-/Sites-pandora-master-catalog/default/dwbb259ca6/productimages/singlepackshot/799088C00_RGB.png"",""mode"":1}")</f>
        <v>{"url":"https://us.pandora.net/on/demandware.static/-/Sites-pandora-master-catalog/default/dwbb259ca6/productimages/singlepackshot/799088C00_RGB.png","mode":1}</v>
      </c>
      <c r="D3520" s="5" t="str">
        <f ca="1">IFERROR(ROWSDUMMYFUNCTION(IF(A3520="","",CONCATENATE("https://us.pandora.net/on/demandware.static/-/Sites-pandora-master-catalog/default/dwbb259ca6/productimages/singlepackshot/",LEFT(A3520,FIND("-",A3520&amp;"-")-1),"_RGB.png"))),"https://us.pandora.net/on/demandware.static/-/Sites-pandora-master-catalog/default/dwbb259ca6/productimages/singlepackshot/799088C00_RGB.png")</f>
        <v>https://us.pandora.net/on/demandware.static/-/Sites-pandora-master-catalog/default/dwbb259ca6/productimages/singlepackshot/799088C00_RGB.png</v>
      </c>
    </row>
    <row r="3521" spans="1:4" x14ac:dyDescent="0.25">
      <c r="A3521" s="3" t="s">
        <v>3523</v>
      </c>
      <c r="B3521" s="4">
        <v>29</v>
      </c>
      <c r="C3521" s="3" t="str">
        <f ca="1">IFERROR(ROWSDUMMYFUNCTION(IF(A3521="","",IFERROR(IMAGE(CONCATENATE("https://us.pandora.net/on/demandware.static/-/Sites-pandora-master-catalog/default/dwbb259ca6/productimages/singlepackshot/",LEFT(A3521,FIND("-",A3521&amp;"-")-1),"_RGB.png")),""))),"{""url"":""https://us.pandora.net/on/demandware.static/-/Sites-pandora-master-catalog/default/dwbb259ca6/productimages/singlepackshot/799144C00_RGB.png"",""mode"":1}")</f>
        <v>{"url":"https://us.pandora.net/on/demandware.static/-/Sites-pandora-master-catalog/default/dwbb259ca6/productimages/singlepackshot/799144C00_RGB.png","mode":1}</v>
      </c>
      <c r="D3521" s="5" t="str">
        <f ca="1">IFERROR(ROWSDUMMYFUNCTION(IF(A3521="","",CONCATENATE("https://us.pandora.net/on/demandware.static/-/Sites-pandora-master-catalog/default/dwbb259ca6/productimages/singlepackshot/",LEFT(A3521,FIND("-",A3521&amp;"-")-1),"_RGB.png"))),"https://us.pandora.net/on/demandware.static/-/Sites-pandora-master-catalog/default/dwbb259ca6/productimages/singlepackshot/799144C00_RGB.png")</f>
        <v>https://us.pandora.net/on/demandware.static/-/Sites-pandora-master-catalog/default/dwbb259ca6/productimages/singlepackshot/799144C00_RGB.png</v>
      </c>
    </row>
    <row r="3522" spans="1:4" x14ac:dyDescent="0.25">
      <c r="A3522" s="3" t="s">
        <v>3524</v>
      </c>
      <c r="B3522" s="4">
        <v>39</v>
      </c>
      <c r="C3522" s="3" t="str">
        <f ca="1">IFERROR(ROWSDUMMYFUNCTION(IF(A3522="","",IFERROR(IMAGE(CONCATENATE("https://us.pandora.net/on/demandware.static/-/Sites-pandora-master-catalog/default/dwbb259ca6/productimages/singlepackshot/",LEFT(A3522,FIND("-",A3522&amp;"-")-1),"_RGB.png")),""))),"{""url"":""https://us.pandora.net/on/demandware.static/-/Sites-pandora-master-catalog/default/dwbb259ca6/productimages/singlepackshot/799149C00_RGB.png"",""mode"":1}")</f>
        <v>{"url":"https://us.pandora.net/on/demandware.static/-/Sites-pandora-master-catalog/default/dwbb259ca6/productimages/singlepackshot/799149C00_RGB.png","mode":1}</v>
      </c>
      <c r="D3522" s="5" t="str">
        <f ca="1">IFERROR(ROWSDUMMYFUNCTION(IF(A3522="","",CONCATENATE("https://us.pandora.net/on/demandware.static/-/Sites-pandora-master-catalog/default/dwbb259ca6/productimages/singlepackshot/",LEFT(A3522,FIND("-",A3522&amp;"-")-1),"_RGB.png"))),"https://us.pandora.net/on/demandware.static/-/Sites-pandora-master-catalog/default/dwbb259ca6/productimages/singlepackshot/799149C00_RGB.png")</f>
        <v>https://us.pandora.net/on/demandware.static/-/Sites-pandora-master-catalog/default/dwbb259ca6/productimages/singlepackshot/799149C00_RGB.png</v>
      </c>
    </row>
    <row r="3523" spans="1:4" x14ac:dyDescent="0.25">
      <c r="A3523" s="3" t="s">
        <v>3525</v>
      </c>
      <c r="B3523" s="4">
        <v>49</v>
      </c>
      <c r="C3523" s="3" t="str">
        <f ca="1">IFERROR(ROWSDUMMYFUNCTION(IF(A3523="","",IFERROR(IMAGE(CONCATENATE("https://us.pandora.net/on/demandware.static/-/Sites-pandora-master-catalog/default/dwbb259ca6/productimages/singlepackshot/",LEFT(A3523,FIND("-",A3523&amp;"-")-1),"_RGB.png")),""))),"{""url"":""https://us.pandora.net/on/demandware.static/-/Sites-pandora-master-catalog/default/dwbb259ca6/productimages/singlepackshot/799153C01_RGB.png"",""mode"":1}")</f>
        <v>{"url":"https://us.pandora.net/on/demandware.static/-/Sites-pandora-master-catalog/default/dwbb259ca6/productimages/singlepackshot/799153C01_RGB.png","mode":1}</v>
      </c>
      <c r="D3523" s="5" t="str">
        <f ca="1">IFERROR(ROWSDUMMYFUNCTION(IF(A3523="","",CONCATENATE("https://us.pandora.net/on/demandware.static/-/Sites-pandora-master-catalog/default/dwbb259ca6/productimages/singlepackshot/",LEFT(A3523,FIND("-",A3523&amp;"-")-1),"_RGB.png"))),"https://us.pandora.net/on/demandware.static/-/Sites-pandora-master-catalog/default/dwbb259ca6/productimages/singlepackshot/799153C01_RGB.png")</f>
        <v>https://us.pandora.net/on/demandware.static/-/Sites-pandora-master-catalog/default/dwbb259ca6/productimages/singlepackshot/799153C01_RGB.png</v>
      </c>
    </row>
    <row r="3524" spans="1:4" x14ac:dyDescent="0.25">
      <c r="A3524" s="3" t="s">
        <v>3526</v>
      </c>
      <c r="B3524" s="4">
        <v>29</v>
      </c>
      <c r="C3524" s="3" t="str">
        <f ca="1">IFERROR(ROWSDUMMYFUNCTION(IF(A3524="","",IFERROR(IMAGE(CONCATENATE("https://us.pandora.net/on/demandware.static/-/Sites-pandora-master-catalog/default/dwbb259ca6/productimages/singlepackshot/",LEFT(A3524,FIND("-",A3524&amp;"-")-1),"_RGB.png")),""))),"{""url"":""https://us.pandora.net/on/demandware.static/-/Sites-pandora-master-catalog/default/dwbb259ca6/productimages/singlepackshot/799157C01_RGB.png"",""mode"":1}")</f>
        <v>{"url":"https://us.pandora.net/on/demandware.static/-/Sites-pandora-master-catalog/default/dwbb259ca6/productimages/singlepackshot/799157C01_RGB.png","mode":1}</v>
      </c>
      <c r="D3524" s="5" t="str">
        <f ca="1">IFERROR(ROWSDUMMYFUNCTION(IF(A3524="","",CONCATENATE("https://us.pandora.net/on/demandware.static/-/Sites-pandora-master-catalog/default/dwbb259ca6/productimages/singlepackshot/",LEFT(A3524,FIND("-",A3524&amp;"-")-1),"_RGB.png"))),"https://us.pandora.net/on/demandware.static/-/Sites-pandora-master-catalog/default/dwbb259ca6/productimages/singlepackshot/799157C01_RGB.png")</f>
        <v>https://us.pandora.net/on/demandware.static/-/Sites-pandora-master-catalog/default/dwbb259ca6/productimages/singlepackshot/799157C01_RGB.png</v>
      </c>
    </row>
    <row r="3525" spans="1:4" x14ac:dyDescent="0.25">
      <c r="A3525" s="3" t="s">
        <v>3527</v>
      </c>
      <c r="B3525" s="4">
        <v>55</v>
      </c>
      <c r="C3525" s="3" t="str">
        <f ca="1">IFERROR(ROWSDUMMYFUNCTION(IF(A3525="","",IFERROR(IMAGE(CONCATENATE("https://us.pandora.net/on/demandware.static/-/Sites-pandora-master-catalog/default/dwbb259ca6/productimages/singlepackshot/",LEFT(A3525,FIND("-",A3525&amp;"-")-1),"_RGB.png")),""))),"{""url"":""https://us.pandora.net/on/demandware.static/-/Sites-pandora-master-catalog/default/dwbb259ca6/productimages/singlepackshot/799171C01_RGB.png"",""mode"":1}")</f>
        <v>{"url":"https://us.pandora.net/on/demandware.static/-/Sites-pandora-master-catalog/default/dwbb259ca6/productimages/singlepackshot/799171C01_RGB.png","mode":1}</v>
      </c>
      <c r="D3525" s="5" t="str">
        <f ca="1">IFERROR(ROWSDUMMYFUNCTION(IF(A3525="","",CONCATENATE("https://us.pandora.net/on/demandware.static/-/Sites-pandora-master-catalog/default/dwbb259ca6/productimages/singlepackshot/",LEFT(A3525,FIND("-",A3525&amp;"-")-1),"_RGB.png"))),"https://us.pandora.net/on/demandware.static/-/Sites-pandora-master-catalog/default/dwbb259ca6/productimages/singlepackshot/799171C01_RGB.png")</f>
        <v>https://us.pandora.net/on/demandware.static/-/Sites-pandora-master-catalog/default/dwbb259ca6/productimages/singlepackshot/799171C01_RGB.png</v>
      </c>
    </row>
    <row r="3526" spans="1:4" x14ac:dyDescent="0.25">
      <c r="A3526" s="3" t="s">
        <v>3528</v>
      </c>
      <c r="B3526" s="4">
        <v>19</v>
      </c>
      <c r="C3526" s="3" t="str">
        <f ca="1">IFERROR(ROWSDUMMYFUNCTION(IF(A3526="","",IFERROR(IMAGE(CONCATENATE("https://us.pandora.net/on/demandware.static/-/Sites-pandora-master-catalog/default/dwbb259ca6/productimages/singlepackshot/",LEFT(A3526,FIND("-",A3526&amp;"-")-1),"_RGB.png")),""))),"{""url"":""https://us.pandora.net/on/demandware.static/-/Sites-pandora-master-catalog/default/dwbb259ca6/productimages/singlepackshot/799183C00_RGB.png"",""mode"":1}")</f>
        <v>{"url":"https://us.pandora.net/on/demandware.static/-/Sites-pandora-master-catalog/default/dwbb259ca6/productimages/singlepackshot/799183C00_RGB.png","mode":1}</v>
      </c>
      <c r="D3526" s="5" t="str">
        <f ca="1">IFERROR(ROWSDUMMYFUNCTION(IF(A3526="","",CONCATENATE("https://us.pandora.net/on/demandware.static/-/Sites-pandora-master-catalog/default/dwbb259ca6/productimages/singlepackshot/",LEFT(A3526,FIND("-",A3526&amp;"-")-1),"_RGB.png"))),"https://us.pandora.net/on/demandware.static/-/Sites-pandora-master-catalog/default/dwbb259ca6/productimages/singlepackshot/799183C00_RGB.png")</f>
        <v>https://us.pandora.net/on/demandware.static/-/Sites-pandora-master-catalog/default/dwbb259ca6/productimages/singlepackshot/799183C00_RGB.png</v>
      </c>
    </row>
    <row r="3527" spans="1:4" x14ac:dyDescent="0.25">
      <c r="A3527" s="3" t="s">
        <v>3529</v>
      </c>
      <c r="B3527" s="4">
        <v>65</v>
      </c>
      <c r="C3527" s="3" t="str">
        <f ca="1">IFERROR(ROWSDUMMYFUNCTION(IF(A3527="","",IFERROR(IMAGE(CONCATENATE("https://us.pandora.net/on/demandware.static/-/Sites-pandora-master-catalog/default/dwbb259ca6/productimages/singlepackshot/",LEFT(A3527,FIND("-",A3527&amp;"-")-1),"_RGB.png")),""))),"{""url"":""https://us.pandora.net/on/demandware.static/-/Sites-pandora-master-catalog/default/dwbb259ca6/productimages/singlepackshot/799187C01_RGB.png"",""mode"":1}")</f>
        <v>{"url":"https://us.pandora.net/on/demandware.static/-/Sites-pandora-master-catalog/default/dwbb259ca6/productimages/singlepackshot/799187C01_RGB.png","mode":1}</v>
      </c>
      <c r="D3527" s="5" t="str">
        <f ca="1">IFERROR(ROWSDUMMYFUNCTION(IF(A3527="","",CONCATENATE("https://us.pandora.net/on/demandware.static/-/Sites-pandora-master-catalog/default/dwbb259ca6/productimages/singlepackshot/",LEFT(A3527,FIND("-",A3527&amp;"-")-1),"_RGB.png"))),"https://us.pandora.net/on/demandware.static/-/Sites-pandora-master-catalog/default/dwbb259ca6/productimages/singlepackshot/799187C01_RGB.png")</f>
        <v>https://us.pandora.net/on/demandware.static/-/Sites-pandora-master-catalog/default/dwbb259ca6/productimages/singlepackshot/799187C01_RGB.png</v>
      </c>
    </row>
    <row r="3528" spans="1:4" x14ac:dyDescent="0.25">
      <c r="A3528" s="3" t="s">
        <v>3530</v>
      </c>
      <c r="B3528" s="4">
        <v>39</v>
      </c>
      <c r="C3528" s="3" t="str">
        <f ca="1">IFERROR(ROWSDUMMYFUNCTION(IF(A3528="","",IFERROR(IMAGE(CONCATENATE("https://us.pandora.net/on/demandware.static/-/Sites-pandora-master-catalog/default/dwbb259ca6/productimages/singlepackshot/",LEFT(A3528,FIND("-",A3528&amp;"-")-1),"_RGB.png")),""))),"{""url"":""https://us.pandora.net/on/demandware.static/-/Sites-pandora-master-catalog/default/dwbb259ca6/productimages/singlepackshot/799212C01_RGB.png"",""mode"":1}")</f>
        <v>{"url":"https://us.pandora.net/on/demandware.static/-/Sites-pandora-master-catalog/default/dwbb259ca6/productimages/singlepackshot/799212C01_RGB.png","mode":1}</v>
      </c>
      <c r="D3528" s="5" t="str">
        <f ca="1">IFERROR(ROWSDUMMYFUNCTION(IF(A3528="","",CONCATENATE("https://us.pandora.net/on/demandware.static/-/Sites-pandora-master-catalog/default/dwbb259ca6/productimages/singlepackshot/",LEFT(A3528,FIND("-",A3528&amp;"-")-1),"_RGB.png"))),"https://us.pandora.net/on/demandware.static/-/Sites-pandora-master-catalog/default/dwbb259ca6/productimages/singlepackshot/799212C01_RGB.png")</f>
        <v>https://us.pandora.net/on/demandware.static/-/Sites-pandora-master-catalog/default/dwbb259ca6/productimages/singlepackshot/799212C01_RGB.png</v>
      </c>
    </row>
    <row r="3529" spans="1:4" x14ac:dyDescent="0.25">
      <c r="A3529" s="3" t="s">
        <v>3531</v>
      </c>
      <c r="B3529" s="4">
        <v>75</v>
      </c>
      <c r="C3529" s="3" t="str">
        <f ca="1">IFERROR(ROWSDUMMYFUNCTION(IF(A3529="","",IFERROR(IMAGE(CONCATENATE("https://us.pandora.net/on/demandware.static/-/Sites-pandora-master-catalog/default/dwbb259ca6/productimages/singlepackshot/",LEFT(A3529,FIND("-",A3529&amp;"-")-1),"_RGB.png")),""))),"{""url"":""https://us.pandora.net/on/demandware.static/-/Sites-pandora-master-catalog/default/dwbb259ca6/productimages/singlepackshot/799218C01_RGB.png"",""mode"":1}")</f>
        <v>{"url":"https://us.pandora.net/on/demandware.static/-/Sites-pandora-master-catalog/default/dwbb259ca6/productimages/singlepackshot/799218C01_RGB.png","mode":1}</v>
      </c>
      <c r="D3529" s="5" t="str">
        <f ca="1">IFERROR(ROWSDUMMYFUNCTION(IF(A3529="","",CONCATENATE("https://us.pandora.net/on/demandware.static/-/Sites-pandora-master-catalog/default/dwbb259ca6/productimages/singlepackshot/",LEFT(A3529,FIND("-",A3529&amp;"-")-1),"_RGB.png"))),"https://us.pandora.net/on/demandware.static/-/Sites-pandora-master-catalog/default/dwbb259ca6/productimages/singlepackshot/799218C01_RGB.png")</f>
        <v>https://us.pandora.net/on/demandware.static/-/Sites-pandora-master-catalog/default/dwbb259ca6/productimages/singlepackshot/799218C01_RGB.png</v>
      </c>
    </row>
    <row r="3530" spans="1:4" x14ac:dyDescent="0.25">
      <c r="A3530" s="3" t="s">
        <v>3532</v>
      </c>
      <c r="B3530" s="4">
        <v>75</v>
      </c>
      <c r="C3530" s="3" t="str">
        <f ca="1">IFERROR(ROWSDUMMYFUNCTION(IF(A3530="","",IFERROR(IMAGE(CONCATENATE("https://us.pandora.net/on/demandware.static/-/Sites-pandora-master-catalog/default/dwbb259ca6/productimages/singlepackshot/",LEFT(A3530,FIND("-",A3530&amp;"-")-1),"_RGB.png")),""))),"{""url"":""https://us.pandora.net/on/demandware.static/-/Sites-pandora-master-catalog/default/dwbb259ca6/productimages/singlepackshot/799218C02_RGB.png"",""mode"":1}")</f>
        <v>{"url":"https://us.pandora.net/on/demandware.static/-/Sites-pandora-master-catalog/default/dwbb259ca6/productimages/singlepackshot/799218C02_RGB.png","mode":1}</v>
      </c>
      <c r="D3530" s="5" t="str">
        <f ca="1">IFERROR(ROWSDUMMYFUNCTION(IF(A3530="","",CONCATENATE("https://us.pandora.net/on/demandware.static/-/Sites-pandora-master-catalog/default/dwbb259ca6/productimages/singlepackshot/",LEFT(A3530,FIND("-",A3530&amp;"-")-1),"_RGB.png"))),"https://us.pandora.net/on/demandware.static/-/Sites-pandora-master-catalog/default/dwbb259ca6/productimages/singlepackshot/799218C02_RGB.png")</f>
        <v>https://us.pandora.net/on/demandware.static/-/Sites-pandora-master-catalog/default/dwbb259ca6/productimages/singlepackshot/799218C02_RGB.png</v>
      </c>
    </row>
    <row r="3531" spans="1:4" x14ac:dyDescent="0.25">
      <c r="A3531" s="3" t="s">
        <v>3533</v>
      </c>
      <c r="B3531" s="4">
        <v>55</v>
      </c>
      <c r="C3531" s="3" t="str">
        <f ca="1">IFERROR(ROWSDUMMYFUNCTION(IF(A3531="","",IFERROR(IMAGE(CONCATENATE("https://us.pandora.net/on/demandware.static/-/Sites-pandora-master-catalog/default/dwbb259ca6/productimages/singlepackshot/",LEFT(A3531,FIND("-",A3531&amp;"-")-1),"_RGB.png")),""))),"{""url"":""https://us.pandora.net/on/demandware.static/-/Sites-pandora-master-catalog/default/dwbb259ca6/productimages/singlepackshot/799270C01_RGB.png"",""mode"":1}")</f>
        <v>{"url":"https://us.pandora.net/on/demandware.static/-/Sites-pandora-master-catalog/default/dwbb259ca6/productimages/singlepackshot/799270C01_RGB.png","mode":1}</v>
      </c>
      <c r="D3531" s="5" t="str">
        <f ca="1">IFERROR(ROWSDUMMYFUNCTION(IF(A3531="","",CONCATENATE("https://us.pandora.net/on/demandware.static/-/Sites-pandora-master-catalog/default/dwbb259ca6/productimages/singlepackshot/",LEFT(A3531,FIND("-",A3531&amp;"-")-1),"_RGB.png"))),"https://us.pandora.net/on/demandware.static/-/Sites-pandora-master-catalog/default/dwbb259ca6/productimages/singlepackshot/799270C01_RGB.png")</f>
        <v>https://us.pandora.net/on/demandware.static/-/Sites-pandora-master-catalog/default/dwbb259ca6/productimages/singlepackshot/799270C01_RGB.png</v>
      </c>
    </row>
    <row r="3532" spans="1:4" x14ac:dyDescent="0.25">
      <c r="A3532" s="3" t="s">
        <v>3534</v>
      </c>
      <c r="B3532" s="4">
        <v>59</v>
      </c>
      <c r="C3532" s="3" t="str">
        <f ca="1">IFERROR(ROWSDUMMYFUNCTION(IF(A3532="","",IFERROR(IMAGE(CONCATENATE("https://us.pandora.net/on/demandware.static/-/Sites-pandora-master-catalog/default/dwbb259ca6/productimages/singlepackshot/",LEFT(A3532,FIND("-",A3532&amp;"-")-1),"_RGB.png")),""))),"{""url"":""https://us.pandora.net/on/demandware.static/-/Sites-pandora-master-catalog/default/dwbb259ca6/productimages/singlepackshot/799293C00_RGB.png"",""mode"":1}")</f>
        <v>{"url":"https://us.pandora.net/on/demandware.static/-/Sites-pandora-master-catalog/default/dwbb259ca6/productimages/singlepackshot/799293C00_RGB.png","mode":1}</v>
      </c>
      <c r="D3532" s="5" t="str">
        <f ca="1">IFERROR(ROWSDUMMYFUNCTION(IF(A3532="","",CONCATENATE("https://us.pandora.net/on/demandware.static/-/Sites-pandora-master-catalog/default/dwbb259ca6/productimages/singlepackshot/",LEFT(A3532,FIND("-",A3532&amp;"-")-1),"_RGB.png"))),"https://us.pandora.net/on/demandware.static/-/Sites-pandora-master-catalog/default/dwbb259ca6/productimages/singlepackshot/799293C00_RGB.png")</f>
        <v>https://us.pandora.net/on/demandware.static/-/Sites-pandora-master-catalog/default/dwbb259ca6/productimages/singlepackshot/799293C00_RGB.png</v>
      </c>
    </row>
    <row r="3533" spans="1:4" x14ac:dyDescent="0.25">
      <c r="A3533" s="3" t="s">
        <v>3535</v>
      </c>
      <c r="B3533" s="4">
        <v>35</v>
      </c>
      <c r="C3533" s="3" t="str">
        <f ca="1">IFERROR(ROWSDUMMYFUNCTION(IF(A3533="","",IFERROR(IMAGE(CONCATENATE("https://us.pandora.net/on/demandware.static/-/Sites-pandora-master-catalog/default/dwbb259ca6/productimages/singlepackshot/",LEFT(A3533,FIND("-",A3533&amp;"-")-1),"_RGB.png")),""))),"{""url"":""https://us.pandora.net/on/demandware.static/-/Sites-pandora-master-catalog/default/dwbb259ca6/productimages/singlepackshot/799294C01_RGB.png"",""mode"":1}")</f>
        <v>{"url":"https://us.pandora.net/on/demandware.static/-/Sites-pandora-master-catalog/default/dwbb259ca6/productimages/singlepackshot/799294C01_RGB.png","mode":1}</v>
      </c>
      <c r="D3533" s="5" t="str">
        <f ca="1">IFERROR(ROWSDUMMYFUNCTION(IF(A3533="","",CONCATENATE("https://us.pandora.net/on/demandware.static/-/Sites-pandora-master-catalog/default/dwbb259ca6/productimages/singlepackshot/",LEFT(A3533,FIND("-",A3533&amp;"-")-1),"_RGB.png"))),"https://us.pandora.net/on/demandware.static/-/Sites-pandora-master-catalog/default/dwbb259ca6/productimages/singlepackshot/799294C01_RGB.png")</f>
        <v>https://us.pandora.net/on/demandware.static/-/Sites-pandora-master-catalog/default/dwbb259ca6/productimages/singlepackshot/799294C01_RGB.png</v>
      </c>
    </row>
    <row r="3534" spans="1:4" x14ac:dyDescent="0.25">
      <c r="A3534" s="3" t="s">
        <v>3536</v>
      </c>
      <c r="B3534" s="4">
        <v>55</v>
      </c>
      <c r="C3534" s="3" t="str">
        <f ca="1">IFERROR(ROWSDUMMYFUNCTION(IF(A3534="","",IFERROR(IMAGE(CONCATENATE("https://us.pandora.net/on/demandware.static/-/Sites-pandora-master-catalog/default/dwbb259ca6/productimages/singlepackshot/",LEFT(A3534,FIND("-",A3534&amp;"-")-1),"_RGB.png")),""))),"{""url"":""https://us.pandora.net/on/demandware.static/-/Sites-pandora-master-catalog/default/dwbb259ca6/productimages/singlepackshot/799320C01_RGB.png"",""mode"":1}")</f>
        <v>{"url":"https://us.pandora.net/on/demandware.static/-/Sites-pandora-master-catalog/default/dwbb259ca6/productimages/singlepackshot/799320C01_RGB.png","mode":1}</v>
      </c>
      <c r="D3534" s="5" t="str">
        <f ca="1">IFERROR(ROWSDUMMYFUNCTION(IF(A3534="","",CONCATENATE("https://us.pandora.net/on/demandware.static/-/Sites-pandora-master-catalog/default/dwbb259ca6/productimages/singlepackshot/",LEFT(A3534,FIND("-",A3534&amp;"-")-1),"_RGB.png"))),"https://us.pandora.net/on/demandware.static/-/Sites-pandora-master-catalog/default/dwbb259ca6/productimages/singlepackshot/799320C01_RGB.png")</f>
        <v>https://us.pandora.net/on/demandware.static/-/Sites-pandora-master-catalog/default/dwbb259ca6/productimages/singlepackshot/799320C01_RGB.png</v>
      </c>
    </row>
    <row r="3535" spans="1:4" x14ac:dyDescent="0.25">
      <c r="A3535" s="3" t="s">
        <v>3537</v>
      </c>
      <c r="B3535" s="4">
        <v>99</v>
      </c>
      <c r="C3535" s="3" t="str">
        <f ca="1">IFERROR(ROWSDUMMYFUNCTION(IF(A3535="","",IFERROR(IMAGE(CONCATENATE("https://us.pandora.net/on/demandware.static/-/Sites-pandora-master-catalog/default/dwbb259ca6/productimages/singlepackshot/",LEFT(A3535,FIND("-",A3535&amp;"-")-1),"_RGB.png")),""))),"{""url"":""https://us.pandora.net/on/demandware.static/-/Sites-pandora-master-catalog/default/dwbb259ca6/productimages/singlepackshot/799322C01_RGB.png"",""mode"":1}")</f>
        <v>{"url":"https://us.pandora.net/on/demandware.static/-/Sites-pandora-master-catalog/default/dwbb259ca6/productimages/singlepackshot/799322C01_RGB.png","mode":1}</v>
      </c>
      <c r="D3535" s="5" t="str">
        <f ca="1">IFERROR(ROWSDUMMYFUNCTION(IF(A3535="","",CONCATENATE("https://us.pandora.net/on/demandware.static/-/Sites-pandora-master-catalog/default/dwbb259ca6/productimages/singlepackshot/",LEFT(A3535,FIND("-",A3535&amp;"-")-1),"_RGB.png"))),"https://us.pandora.net/on/demandware.static/-/Sites-pandora-master-catalog/default/dwbb259ca6/productimages/singlepackshot/799322C01_RGB.png")</f>
        <v>https://us.pandora.net/on/demandware.static/-/Sites-pandora-master-catalog/default/dwbb259ca6/productimages/singlepackshot/799322C01_RGB.png</v>
      </c>
    </row>
    <row r="3536" spans="1:4" x14ac:dyDescent="0.25">
      <c r="A3536" s="3" t="s">
        <v>3538</v>
      </c>
      <c r="B3536" s="4">
        <v>65</v>
      </c>
      <c r="C3536" s="3" t="str">
        <f ca="1">IFERROR(ROWSDUMMYFUNCTION(IF(A3536="","",IFERROR(IMAGE(CONCATENATE("https://us.pandora.net/on/demandware.static/-/Sites-pandora-master-catalog/default/dwbb259ca6/productimages/singlepackshot/",LEFT(A3536,FIND("-",A3536&amp;"-")-1),"_RGB.png")),""))),"{""url"":""https://us.pandora.net/on/demandware.static/-/Sites-pandora-master-catalog/default/dwbb259ca6/productimages/singlepackshot/799352C01_RGB.png"",""mode"":1}")</f>
        <v>{"url":"https://us.pandora.net/on/demandware.static/-/Sites-pandora-master-catalog/default/dwbb259ca6/productimages/singlepackshot/799352C01_RGB.png","mode":1}</v>
      </c>
      <c r="D3536" s="5" t="str">
        <f ca="1">IFERROR(ROWSDUMMYFUNCTION(IF(A3536="","",CONCATENATE("https://us.pandora.net/on/demandware.static/-/Sites-pandora-master-catalog/default/dwbb259ca6/productimages/singlepackshot/",LEFT(A3536,FIND("-",A3536&amp;"-")-1),"_RGB.png"))),"https://us.pandora.net/on/demandware.static/-/Sites-pandora-master-catalog/default/dwbb259ca6/productimages/singlepackshot/799352C01_RGB.png")</f>
        <v>https://us.pandora.net/on/demandware.static/-/Sites-pandora-master-catalog/default/dwbb259ca6/productimages/singlepackshot/799352C01_RGB.png</v>
      </c>
    </row>
    <row r="3537" spans="1:4" x14ac:dyDescent="0.25">
      <c r="A3537" s="3" t="s">
        <v>3539</v>
      </c>
      <c r="B3537" s="4">
        <v>39</v>
      </c>
      <c r="C3537" s="3" t="str">
        <f ca="1">IFERROR(ROWSDUMMYFUNCTION(IF(A3537="","",IFERROR(IMAGE(CONCATENATE("https://us.pandora.net/on/demandware.static/-/Sites-pandora-master-catalog/default/dwbb259ca6/productimages/singlepackshot/",LEFT(A3537,FIND("-",A3537&amp;"-")-1),"_RGB.png")),""))),"{""url"":""https://us.pandora.net/on/demandware.static/-/Sites-pandora-master-catalog/default/dwbb259ca6/productimages/singlepackshot/799360C00_RGB.png"",""mode"":1}")</f>
        <v>{"url":"https://us.pandora.net/on/demandware.static/-/Sites-pandora-master-catalog/default/dwbb259ca6/productimages/singlepackshot/799360C00_RGB.png","mode":1}</v>
      </c>
      <c r="D3537" s="5" t="str">
        <f ca="1">IFERROR(ROWSDUMMYFUNCTION(IF(A3537="","",CONCATENATE("https://us.pandora.net/on/demandware.static/-/Sites-pandora-master-catalog/default/dwbb259ca6/productimages/singlepackshot/",LEFT(A3537,FIND("-",A3537&amp;"-")-1),"_RGB.png"))),"https://us.pandora.net/on/demandware.static/-/Sites-pandora-master-catalog/default/dwbb259ca6/productimages/singlepackshot/799360C00_RGB.png")</f>
        <v>https://us.pandora.net/on/demandware.static/-/Sites-pandora-master-catalog/default/dwbb259ca6/productimages/singlepackshot/799360C00_RGB.png</v>
      </c>
    </row>
    <row r="3538" spans="1:4" x14ac:dyDescent="0.25">
      <c r="A3538" s="3" t="s">
        <v>3540</v>
      </c>
      <c r="B3538" s="4">
        <v>69</v>
      </c>
      <c r="C3538" s="3" t="str">
        <f ca="1">IFERROR(ROWSDUMMYFUNCTION(IF(A3538="","",IFERROR(IMAGE(CONCATENATE("https://us.pandora.net/on/demandware.static/-/Sites-pandora-master-catalog/default/dwbb259ca6/productimages/singlepackshot/",LEFT(A3538,FIND("-",A3538&amp;"-")-1),"_RGB.png")),""))),"{""url"":""https://us.pandora.net/on/demandware.static/-/Sites-pandora-master-catalog/default/dwbb259ca6/productimages/singlepackshot/799383C01_RGB.png"",""mode"":1}")</f>
        <v>{"url":"https://us.pandora.net/on/demandware.static/-/Sites-pandora-master-catalog/default/dwbb259ca6/productimages/singlepackshot/799383C01_RGB.png","mode":1}</v>
      </c>
      <c r="D3538" s="5" t="str">
        <f ca="1">IFERROR(ROWSDUMMYFUNCTION(IF(A3538="","",CONCATENATE("https://us.pandora.net/on/demandware.static/-/Sites-pandora-master-catalog/default/dwbb259ca6/productimages/singlepackshot/",LEFT(A3538,FIND("-",A3538&amp;"-")-1),"_RGB.png"))),"https://us.pandora.net/on/demandware.static/-/Sites-pandora-master-catalog/default/dwbb259ca6/productimages/singlepackshot/799383C01_RGB.png")</f>
        <v>https://us.pandora.net/on/demandware.static/-/Sites-pandora-master-catalog/default/dwbb259ca6/productimages/singlepackshot/799383C01_RGB.png</v>
      </c>
    </row>
    <row r="3539" spans="1:4" x14ac:dyDescent="0.25">
      <c r="A3539" s="3" t="s">
        <v>3541</v>
      </c>
      <c r="B3539" s="4">
        <v>59</v>
      </c>
      <c r="C3539" s="3" t="str">
        <f ca="1">IFERROR(ROWSDUMMYFUNCTION(IF(A3539="","",IFERROR(IMAGE(CONCATENATE("https://us.pandora.net/on/demandware.static/-/Sites-pandora-master-catalog/default/dwbb259ca6/productimages/singlepackshot/",LEFT(A3539,FIND("-",A3539&amp;"-")-1),"_RGB.png")),""))),"{""url"":""https://us.pandora.net/on/demandware.static/-/Sites-pandora-master-catalog/default/dwbb259ca6/productimages/singlepackshot/799392C01_RGB.png"",""mode"":1}")</f>
        <v>{"url":"https://us.pandora.net/on/demandware.static/-/Sites-pandora-master-catalog/default/dwbb259ca6/productimages/singlepackshot/799392C01_RGB.png","mode":1}</v>
      </c>
      <c r="D3539" s="5" t="str">
        <f ca="1">IFERROR(ROWSDUMMYFUNCTION(IF(A3539="","",CONCATENATE("https://us.pandora.net/on/demandware.static/-/Sites-pandora-master-catalog/default/dwbb259ca6/productimages/singlepackshot/",LEFT(A3539,FIND("-",A3539&amp;"-")-1),"_RGB.png"))),"https://us.pandora.net/on/demandware.static/-/Sites-pandora-master-catalog/default/dwbb259ca6/productimages/singlepackshot/799392C01_RGB.png")</f>
        <v>https://us.pandora.net/on/demandware.static/-/Sites-pandora-master-catalog/default/dwbb259ca6/productimages/singlepackshot/799392C01_RGB.png</v>
      </c>
    </row>
    <row r="3540" spans="1:4" x14ac:dyDescent="0.25">
      <c r="A3540" s="3" t="s">
        <v>3542</v>
      </c>
      <c r="B3540" s="4">
        <v>35</v>
      </c>
      <c r="C3540" s="3" t="str">
        <f ca="1">IFERROR(ROWSDUMMYFUNCTION(IF(A3540="","",IFERROR(IMAGE(CONCATENATE("https://us.pandora.net/on/demandware.static/-/Sites-pandora-master-catalog/default/dwbb259ca6/productimages/singlepackshot/",LEFT(A3540,FIND("-",A3540&amp;"-")-1),"_RGB.png")),""))),"{""url"":""https://us.pandora.net/on/demandware.static/-/Sites-pandora-master-catalog/default/dwbb259ca6/productimages/singlepackshot/799393C00_RGB.png"",""mode"":1}")</f>
        <v>{"url":"https://us.pandora.net/on/demandware.static/-/Sites-pandora-master-catalog/default/dwbb259ca6/productimages/singlepackshot/799393C00_RGB.png","mode":1}</v>
      </c>
      <c r="D3540" s="5" t="str">
        <f ca="1">IFERROR(ROWSDUMMYFUNCTION(IF(A3540="","",CONCATENATE("https://us.pandora.net/on/demandware.static/-/Sites-pandora-master-catalog/default/dwbb259ca6/productimages/singlepackshot/",LEFT(A3540,FIND("-",A3540&amp;"-")-1),"_RGB.png"))),"https://us.pandora.net/on/demandware.static/-/Sites-pandora-master-catalog/default/dwbb259ca6/productimages/singlepackshot/799393C00_RGB.png")</f>
        <v>https://us.pandora.net/on/demandware.static/-/Sites-pandora-master-catalog/default/dwbb259ca6/productimages/singlepackshot/799393C00_RGB.png</v>
      </c>
    </row>
    <row r="3541" spans="1:4" x14ac:dyDescent="0.25">
      <c r="A3541" s="3" t="s">
        <v>3543</v>
      </c>
      <c r="B3541" s="4">
        <v>65</v>
      </c>
      <c r="C3541" s="3" t="str">
        <f ca="1">IFERROR(ROWSDUMMYFUNCTION(IF(A3541="","",IFERROR(IMAGE(CONCATENATE("https://us.pandora.net/on/demandware.static/-/Sites-pandora-master-catalog/default/dwbb259ca6/productimages/singlepackshot/",LEFT(A3541,FIND("-",A3541&amp;"-")-1),"_RGB.png")),""))),"{""url"":""https://us.pandora.net/on/demandware.static/-/Sites-pandora-master-catalog/default/dwbb259ca6/productimages/singlepackshot/799402C01_RGB.png"",""mode"":1}")</f>
        <v>{"url":"https://us.pandora.net/on/demandware.static/-/Sites-pandora-master-catalog/default/dwbb259ca6/productimages/singlepackshot/799402C01_RGB.png","mode":1}</v>
      </c>
      <c r="D3541" s="5" t="str">
        <f ca="1">IFERROR(ROWSDUMMYFUNCTION(IF(A3541="","",CONCATENATE("https://us.pandora.net/on/demandware.static/-/Sites-pandora-master-catalog/default/dwbb259ca6/productimages/singlepackshot/",LEFT(A3541,FIND("-",A3541&amp;"-")-1),"_RGB.png"))),"https://us.pandora.net/on/demandware.static/-/Sites-pandora-master-catalog/default/dwbb259ca6/productimages/singlepackshot/799402C01_RGB.png")</f>
        <v>https://us.pandora.net/on/demandware.static/-/Sites-pandora-master-catalog/default/dwbb259ca6/productimages/singlepackshot/799402C01_RGB.png</v>
      </c>
    </row>
    <row r="3542" spans="1:4" x14ac:dyDescent="0.25">
      <c r="A3542" s="3" t="s">
        <v>3544</v>
      </c>
      <c r="B3542" s="4">
        <v>59</v>
      </c>
      <c r="C3542" s="3" t="str">
        <f ca="1">IFERROR(ROWSDUMMYFUNCTION(IF(A3542="","",IFERROR(IMAGE(CONCATENATE("https://us.pandora.net/on/demandware.static/-/Sites-pandora-master-catalog/default/dwbb259ca6/productimages/singlepackshot/",LEFT(A3542,FIND("-",A3542&amp;"-")-1),"_RGB.png")),""))),"{""url"":""https://us.pandora.net/on/demandware.static/-/Sites-pandora-master-catalog/default/dwbb259ca6/productimages/singlepackshot/799428C01_RGB.png"",""mode"":1}")</f>
        <v>{"url":"https://us.pandora.net/on/demandware.static/-/Sites-pandora-master-catalog/default/dwbb259ca6/productimages/singlepackshot/799428C01_RGB.png","mode":1}</v>
      </c>
      <c r="D3542" s="5" t="str">
        <f ca="1">IFERROR(ROWSDUMMYFUNCTION(IF(A3542="","",CONCATENATE("https://us.pandora.net/on/demandware.static/-/Sites-pandora-master-catalog/default/dwbb259ca6/productimages/singlepackshot/",LEFT(A3542,FIND("-",A3542&amp;"-")-1),"_RGB.png"))),"https://us.pandora.net/on/demandware.static/-/Sites-pandora-master-catalog/default/dwbb259ca6/productimages/singlepackshot/799428C01_RGB.png")</f>
        <v>https://us.pandora.net/on/demandware.static/-/Sites-pandora-master-catalog/default/dwbb259ca6/productimages/singlepackshot/799428C01_RGB.png</v>
      </c>
    </row>
    <row r="3543" spans="1:4" x14ac:dyDescent="0.25">
      <c r="A3543" s="3" t="s">
        <v>3545</v>
      </c>
      <c r="B3543" s="4">
        <v>49</v>
      </c>
      <c r="C3543" s="3" t="str">
        <f ca="1">IFERROR(ROWSDUMMYFUNCTION(IF(A3543="","",IFERROR(IMAGE(CONCATENATE("https://us.pandora.net/on/demandware.static/-/Sites-pandora-master-catalog/default/dwbb259ca6/productimages/singlepackshot/",LEFT(A3543,FIND("-",A3543&amp;"-")-1),"_RGB.png")),""))),"{""url"":""https://us.pandora.net/on/demandware.static/-/Sites-pandora-master-catalog/default/dwbb259ca6/productimages/singlepackshot/799429C01_RGB.png"",""mode"":1}")</f>
        <v>{"url":"https://us.pandora.net/on/demandware.static/-/Sites-pandora-master-catalog/default/dwbb259ca6/productimages/singlepackshot/799429C01_RGB.png","mode":1}</v>
      </c>
      <c r="D3543" s="5" t="str">
        <f ca="1">IFERROR(ROWSDUMMYFUNCTION(IF(A3543="","",CONCATENATE("https://us.pandora.net/on/demandware.static/-/Sites-pandora-master-catalog/default/dwbb259ca6/productimages/singlepackshot/",LEFT(A3543,FIND("-",A3543&amp;"-")-1),"_RGB.png"))),"https://us.pandora.net/on/demandware.static/-/Sites-pandora-master-catalog/default/dwbb259ca6/productimages/singlepackshot/799429C01_RGB.png")</f>
        <v>https://us.pandora.net/on/demandware.static/-/Sites-pandora-master-catalog/default/dwbb259ca6/productimages/singlepackshot/799429C01_RGB.png</v>
      </c>
    </row>
    <row r="3544" spans="1:4" x14ac:dyDescent="0.25">
      <c r="A3544" s="3" t="s">
        <v>3546</v>
      </c>
      <c r="B3544" s="4">
        <v>69</v>
      </c>
      <c r="C3544" s="3" t="str">
        <f ca="1">IFERROR(ROWSDUMMYFUNCTION(IF(A3544="","",IFERROR(IMAGE(CONCATENATE("https://us.pandora.net/on/demandware.static/-/Sites-pandora-master-catalog/default/dwbb259ca6/productimages/singlepackshot/",LEFT(A3544,FIND("-",A3544&amp;"-")-1),"_RGB.png")),""))),"{""url"":""https://us.pandora.net/on/demandware.static/-/Sites-pandora-master-catalog/default/dwbb259ca6/productimages/singlepackshot/799435C01_RGB.png"",""mode"":1}")</f>
        <v>{"url":"https://us.pandora.net/on/demandware.static/-/Sites-pandora-master-catalog/default/dwbb259ca6/productimages/singlepackshot/799435C01_RGB.png","mode":1}</v>
      </c>
      <c r="D3544" s="5" t="str">
        <f ca="1">IFERROR(ROWSDUMMYFUNCTION(IF(A3544="","",CONCATENATE("https://us.pandora.net/on/demandware.static/-/Sites-pandora-master-catalog/default/dwbb259ca6/productimages/singlepackshot/",LEFT(A3544,FIND("-",A3544&amp;"-")-1),"_RGB.png"))),"https://us.pandora.net/on/demandware.static/-/Sites-pandora-master-catalog/default/dwbb259ca6/productimages/singlepackshot/799435C01_RGB.png")</f>
        <v>https://us.pandora.net/on/demandware.static/-/Sites-pandora-master-catalog/default/dwbb259ca6/productimages/singlepackshot/799435C01_RGB.png</v>
      </c>
    </row>
    <row r="3545" spans="1:4" x14ac:dyDescent="0.25">
      <c r="A3545" s="3" t="s">
        <v>3547</v>
      </c>
      <c r="B3545" s="4">
        <v>35</v>
      </c>
      <c r="C3545" s="3" t="str">
        <f ca="1">IFERROR(ROWSDUMMYFUNCTION(IF(A3545="","",IFERROR(IMAGE(CONCATENATE("https://us.pandora.net/on/demandware.static/-/Sites-pandora-master-catalog/default/dwbb259ca6/productimages/singlepackshot/",LEFT(A3545,FIND("-",A3545&amp;"-")-1),"_RGB.png")),""))),"{""url"":""https://us.pandora.net/on/demandware.static/-/Sites-pandora-master-catalog/default/dwbb259ca6/productimages/singlepackshot/799439C00_RGB.png"",""mode"":1}")</f>
        <v>{"url":"https://us.pandora.net/on/demandware.static/-/Sites-pandora-master-catalog/default/dwbb259ca6/productimages/singlepackshot/799439C00_RGB.png","mode":1}</v>
      </c>
      <c r="D3545" s="5" t="str">
        <f ca="1">IFERROR(ROWSDUMMYFUNCTION(IF(A3545="","",CONCATENATE("https://us.pandora.net/on/demandware.static/-/Sites-pandora-master-catalog/default/dwbb259ca6/productimages/singlepackshot/",LEFT(A3545,FIND("-",A3545&amp;"-")-1),"_RGB.png"))),"https://us.pandora.net/on/demandware.static/-/Sites-pandora-master-catalog/default/dwbb259ca6/productimages/singlepackshot/799439C00_RGB.png")</f>
        <v>https://us.pandora.net/on/demandware.static/-/Sites-pandora-master-catalog/default/dwbb259ca6/productimages/singlepackshot/799439C00_RGB.png</v>
      </c>
    </row>
    <row r="3546" spans="1:4" x14ac:dyDescent="0.25">
      <c r="A3546" s="3" t="s">
        <v>3548</v>
      </c>
      <c r="B3546" s="4">
        <v>39</v>
      </c>
      <c r="C3546" s="3" t="str">
        <f ca="1">IFERROR(ROWSDUMMYFUNCTION(IF(A3546="","",IFERROR(IMAGE(CONCATENATE("https://us.pandora.net/on/demandware.static/-/Sites-pandora-master-catalog/default/dwbb259ca6/productimages/singlepackshot/",LEFT(A3546,FIND("-",A3546&amp;"-")-1),"_RGB.png")),""))),"{""url"":""https://us.pandora.net/on/demandware.static/-/Sites-pandora-master-catalog/default/dwbb259ca6/productimages/singlepackshot/799535C00_RGB.png"",""mode"":1}")</f>
        <v>{"url":"https://us.pandora.net/on/demandware.static/-/Sites-pandora-master-catalog/default/dwbb259ca6/productimages/singlepackshot/799535C00_RGB.png","mode":1}</v>
      </c>
      <c r="D3546" s="5" t="str">
        <f ca="1">IFERROR(ROWSDUMMYFUNCTION(IF(A3546="","",CONCATENATE("https://us.pandora.net/on/demandware.static/-/Sites-pandora-master-catalog/default/dwbb259ca6/productimages/singlepackshot/",LEFT(A3546,FIND("-",A3546&amp;"-")-1),"_RGB.png"))),"https://us.pandora.net/on/demandware.static/-/Sites-pandora-master-catalog/default/dwbb259ca6/productimages/singlepackshot/799535C00_RGB.png")</f>
        <v>https://us.pandora.net/on/demandware.static/-/Sites-pandora-master-catalog/default/dwbb259ca6/productimages/singlepackshot/799535C00_RGB.png</v>
      </c>
    </row>
    <row r="3547" spans="1:4" x14ac:dyDescent="0.25">
      <c r="A3547" s="3" t="s">
        <v>3549</v>
      </c>
      <c r="B3547" s="4">
        <v>49</v>
      </c>
      <c r="C3547" s="3" t="str">
        <f ca="1">IFERROR(ROWSDUMMYFUNCTION(IF(A3547="","",IFERROR(IMAGE(CONCATENATE("https://us.pandora.net/on/demandware.static/-/Sites-pandora-master-catalog/default/dwbb259ca6/productimages/singlepackshot/",LEFT(A3547,FIND("-",A3547&amp;"-")-1),"_RGB.png")),""))),"{""url"":""https://us.pandora.net/on/demandware.static/-/Sites-pandora-master-catalog/default/dwbb259ca6/productimages/singlepackshot/799536C00_RGB.png"",""mode"":1}")</f>
        <v>{"url":"https://us.pandora.net/on/demandware.static/-/Sites-pandora-master-catalog/default/dwbb259ca6/productimages/singlepackshot/799536C00_RGB.png","mode":1}</v>
      </c>
      <c r="D3547" s="5" t="str">
        <f ca="1">IFERROR(ROWSDUMMYFUNCTION(IF(A3547="","",CONCATENATE("https://us.pandora.net/on/demandware.static/-/Sites-pandora-master-catalog/default/dwbb259ca6/productimages/singlepackshot/",LEFT(A3547,FIND("-",A3547&amp;"-")-1),"_RGB.png"))),"https://us.pandora.net/on/demandware.static/-/Sites-pandora-master-catalog/default/dwbb259ca6/productimages/singlepackshot/799536C00_RGB.png")</f>
        <v>https://us.pandora.net/on/demandware.static/-/Sites-pandora-master-catalog/default/dwbb259ca6/productimages/singlepackshot/799536C00_RGB.png</v>
      </c>
    </row>
    <row r="3548" spans="1:4" x14ac:dyDescent="0.25">
      <c r="A3548" s="3" t="s">
        <v>3550</v>
      </c>
      <c r="B3548" s="4">
        <v>55</v>
      </c>
      <c r="C3548" s="3" t="str">
        <f ca="1">IFERROR(ROWSDUMMYFUNCTION(IF(A3548="","",IFERROR(IMAGE(CONCATENATE("https://us.pandora.net/on/demandware.static/-/Sites-pandora-master-catalog/default/dwbb259ca6/productimages/singlepackshot/",LEFT(A3548,FIND("-",A3548&amp;"-")-1),"_RGB.png")),""))),"{""url"":""https://us.pandora.net/on/demandware.static/-/Sites-pandora-master-catalog/default/dwbb259ca6/productimages/singlepackshot/799538C01_RGB.png"",""mode"":1}")</f>
        <v>{"url":"https://us.pandora.net/on/demandware.static/-/Sites-pandora-master-catalog/default/dwbb259ca6/productimages/singlepackshot/799538C01_RGB.png","mode":1}</v>
      </c>
      <c r="D3548" s="5" t="str">
        <f ca="1">IFERROR(ROWSDUMMYFUNCTION(IF(A3548="","",CONCATENATE("https://us.pandora.net/on/demandware.static/-/Sites-pandora-master-catalog/default/dwbb259ca6/productimages/singlepackshot/",LEFT(A3548,FIND("-",A3548&amp;"-")-1),"_RGB.png"))),"https://us.pandora.net/on/demandware.static/-/Sites-pandora-master-catalog/default/dwbb259ca6/productimages/singlepackshot/799538C01_RGB.png")</f>
        <v>https://us.pandora.net/on/demandware.static/-/Sites-pandora-master-catalog/default/dwbb259ca6/productimages/singlepackshot/799538C01_RGB.png</v>
      </c>
    </row>
    <row r="3549" spans="1:4" x14ac:dyDescent="0.25">
      <c r="A3549" s="3" t="s">
        <v>3551</v>
      </c>
      <c r="B3549" s="4">
        <v>49</v>
      </c>
      <c r="C3549" s="3" t="str">
        <f ca="1">IFERROR(ROWSDUMMYFUNCTION(IF(A3549="","",IFERROR(IMAGE(CONCATENATE("https://us.pandora.net/on/demandware.static/-/Sites-pandora-master-catalog/default/dwbb259ca6/productimages/singlepackshot/",LEFT(A3549,FIND("-",A3549&amp;"-")-1),"_RGB.png")),""))),"{""url"":""https://us.pandora.net/on/demandware.static/-/Sites-pandora-master-catalog/default/dwbb259ca6/productimages/singlepackshot/799540C01_RGB.png"",""mode"":1}")</f>
        <v>{"url":"https://us.pandora.net/on/demandware.static/-/Sites-pandora-master-catalog/default/dwbb259ca6/productimages/singlepackshot/799540C01_RGB.png","mode":1}</v>
      </c>
      <c r="D3549" s="5" t="str">
        <f ca="1">IFERROR(ROWSDUMMYFUNCTION(IF(A3549="","",CONCATENATE("https://us.pandora.net/on/demandware.static/-/Sites-pandora-master-catalog/default/dwbb259ca6/productimages/singlepackshot/",LEFT(A3549,FIND("-",A3549&amp;"-")-1),"_RGB.png"))),"https://us.pandora.net/on/demandware.static/-/Sites-pandora-master-catalog/default/dwbb259ca6/productimages/singlepackshot/799540C01_RGB.png")</f>
        <v>https://us.pandora.net/on/demandware.static/-/Sites-pandora-master-catalog/default/dwbb259ca6/productimages/singlepackshot/799540C01_RGB.png</v>
      </c>
    </row>
    <row r="3550" spans="1:4" x14ac:dyDescent="0.25">
      <c r="A3550" s="3" t="s">
        <v>3552</v>
      </c>
      <c r="B3550" s="4">
        <v>35</v>
      </c>
      <c r="C3550" s="3" t="str">
        <f ca="1">IFERROR(ROWSDUMMYFUNCTION(IF(A3550="","",IFERROR(IMAGE(CONCATENATE("https://us.pandora.net/on/demandware.static/-/Sites-pandora-master-catalog/default/dwbb259ca6/productimages/singlepackshot/",LEFT(A3550,FIND("-",A3550&amp;"-")-1),"_RGB.png")),""))),"{""url"":""https://us.pandora.net/on/demandware.static/-/Sites-pandora-master-catalog/default/dwbb259ca6/productimages/singlepackshot/799545C01_RGB.png"",""mode"":1}")</f>
        <v>{"url":"https://us.pandora.net/on/demandware.static/-/Sites-pandora-master-catalog/default/dwbb259ca6/productimages/singlepackshot/799545C01_RGB.png","mode":1}</v>
      </c>
      <c r="D3550" s="5" t="str">
        <f ca="1">IFERROR(ROWSDUMMYFUNCTION(IF(A3550="","",CONCATENATE("https://us.pandora.net/on/demandware.static/-/Sites-pandora-master-catalog/default/dwbb259ca6/productimages/singlepackshot/",LEFT(A3550,FIND("-",A3550&amp;"-")-1),"_RGB.png"))),"https://us.pandora.net/on/demandware.static/-/Sites-pandora-master-catalog/default/dwbb259ca6/productimages/singlepackshot/799545C01_RGB.png")</f>
        <v>https://us.pandora.net/on/demandware.static/-/Sites-pandora-master-catalog/default/dwbb259ca6/productimages/singlepackshot/799545C01_RGB.png</v>
      </c>
    </row>
    <row r="3551" spans="1:4" x14ac:dyDescent="0.25">
      <c r="A3551" s="3" t="s">
        <v>3553</v>
      </c>
      <c r="B3551" s="4">
        <v>55</v>
      </c>
      <c r="C3551" s="3" t="str">
        <f ca="1">IFERROR(ROWSDUMMYFUNCTION(IF(A3551="","",IFERROR(IMAGE(CONCATENATE("https://us.pandora.net/on/demandware.static/-/Sites-pandora-master-catalog/default/dwbb259ca6/productimages/singlepackshot/",LEFT(A3551,FIND("-",A3551&amp;"-")-1),"_RGB.png")),""))),"{""url"":""https://us.pandora.net/on/demandware.static/-/Sites-pandora-master-catalog/default/dwbb259ca6/productimages/singlepackshot/799546C01_RGB.png"",""mode"":1}")</f>
        <v>{"url":"https://us.pandora.net/on/demandware.static/-/Sites-pandora-master-catalog/default/dwbb259ca6/productimages/singlepackshot/799546C01_RGB.png","mode":1}</v>
      </c>
      <c r="D3551" s="5" t="str">
        <f ca="1">IFERROR(ROWSDUMMYFUNCTION(IF(A3551="","",CONCATENATE("https://us.pandora.net/on/demandware.static/-/Sites-pandora-master-catalog/default/dwbb259ca6/productimages/singlepackshot/",LEFT(A3551,FIND("-",A3551&amp;"-")-1),"_RGB.png"))),"https://us.pandora.net/on/demandware.static/-/Sites-pandora-master-catalog/default/dwbb259ca6/productimages/singlepackshot/799546C01_RGB.png")</f>
        <v>https://us.pandora.net/on/demandware.static/-/Sites-pandora-master-catalog/default/dwbb259ca6/productimages/singlepackshot/799546C01_RGB.png</v>
      </c>
    </row>
    <row r="3552" spans="1:4" x14ac:dyDescent="0.25">
      <c r="A3552" s="3" t="s">
        <v>3554</v>
      </c>
      <c r="B3552" s="4">
        <v>69</v>
      </c>
      <c r="C3552" s="3" t="str">
        <f ca="1">IFERROR(ROWSDUMMYFUNCTION(IF(A3552="","",IFERROR(IMAGE(CONCATENATE("https://us.pandora.net/on/demandware.static/-/Sites-pandora-master-catalog/default/dwbb259ca6/productimages/singlepackshot/",LEFT(A3552,FIND("-",A3552&amp;"-")-1),"_RGB.png")),""))),"{""url"":""https://us.pandora.net/on/demandware.static/-/Sites-pandora-master-catalog/default/dwbb259ca6/productimages/singlepackshot/799599C01_RGB.png"",""mode"":1}")</f>
        <v>{"url":"https://us.pandora.net/on/demandware.static/-/Sites-pandora-master-catalog/default/dwbb259ca6/productimages/singlepackshot/799599C01_RGB.png","mode":1}</v>
      </c>
      <c r="D3552" s="5" t="str">
        <f ca="1">IFERROR(ROWSDUMMYFUNCTION(IF(A3552="","",CONCATENATE("https://us.pandora.net/on/demandware.static/-/Sites-pandora-master-catalog/default/dwbb259ca6/productimages/singlepackshot/",LEFT(A3552,FIND("-",A3552&amp;"-")-1),"_RGB.png"))),"https://us.pandora.net/on/demandware.static/-/Sites-pandora-master-catalog/default/dwbb259ca6/productimages/singlepackshot/799599C01_RGB.png")</f>
        <v>https://us.pandora.net/on/demandware.static/-/Sites-pandora-master-catalog/default/dwbb259ca6/productimages/singlepackshot/799599C01_RGB.png</v>
      </c>
    </row>
    <row r="3553" spans="1:4" x14ac:dyDescent="0.25">
      <c r="A3553" s="3" t="s">
        <v>3555</v>
      </c>
      <c r="B3553" s="4">
        <v>49</v>
      </c>
      <c r="C3553" s="3" t="str">
        <f ca="1">IFERROR(ROWSDUMMYFUNCTION(IF(A3553="","",IFERROR(IMAGE(CONCATENATE("https://us.pandora.net/on/demandware.static/-/Sites-pandora-master-catalog/default/dwbb259ca6/productimages/singlepackshot/",LEFT(A3553,FIND("-",A3553&amp;"-")-1),"_RGB.png")),""))),"{""url"":""https://us.pandora.net/on/demandware.static/-/Sites-pandora-master-catalog/default/dwbb259ca6/productimages/singlepackshot/799637C01_RGB.png"",""mode"":1}")</f>
        <v>{"url":"https://us.pandora.net/on/demandware.static/-/Sites-pandora-master-catalog/default/dwbb259ca6/productimages/singlepackshot/799637C01_RGB.png","mode":1}</v>
      </c>
      <c r="D3553" s="5" t="str">
        <f ca="1">IFERROR(ROWSDUMMYFUNCTION(IF(A3553="","",CONCATENATE("https://us.pandora.net/on/demandware.static/-/Sites-pandora-master-catalog/default/dwbb259ca6/productimages/singlepackshot/",LEFT(A3553,FIND("-",A3553&amp;"-")-1),"_RGB.png"))),"https://us.pandora.net/on/demandware.static/-/Sites-pandora-master-catalog/default/dwbb259ca6/productimages/singlepackshot/799637C01_RGB.png")</f>
        <v>https://us.pandora.net/on/demandware.static/-/Sites-pandora-master-catalog/default/dwbb259ca6/productimages/singlepackshot/799637C01_RGB.png</v>
      </c>
    </row>
    <row r="3554" spans="1:4" x14ac:dyDescent="0.25">
      <c r="A3554" s="3" t="s">
        <v>3556</v>
      </c>
      <c r="B3554" s="4">
        <v>65</v>
      </c>
      <c r="C3554" s="3" t="str">
        <f ca="1">IFERROR(ROWSDUMMYFUNCTION(IF(A3554="","",IFERROR(IMAGE(CONCATENATE("https://us.pandora.net/on/demandware.static/-/Sites-pandora-master-catalog/default/dwbb259ca6/productimages/singlepackshot/",LEFT(A3554,FIND("-",A3554&amp;"-")-1),"_RGB.png")),""))),"{""url"":""https://us.pandora.net/on/demandware.static/-/Sites-pandora-master-catalog/default/dwbb259ca6/productimages/singlepackshot/799643C01_RGB.png"",""mode"":1}")</f>
        <v>{"url":"https://us.pandora.net/on/demandware.static/-/Sites-pandora-master-catalog/default/dwbb259ca6/productimages/singlepackshot/799643C01_RGB.png","mode":1}</v>
      </c>
      <c r="D3554" s="5" t="str">
        <f ca="1">IFERROR(ROWSDUMMYFUNCTION(IF(A3554="","",CONCATENATE("https://us.pandora.net/on/demandware.static/-/Sites-pandora-master-catalog/default/dwbb259ca6/productimages/singlepackshot/",LEFT(A3554,FIND("-",A3554&amp;"-")-1),"_RGB.png"))),"https://us.pandora.net/on/demandware.static/-/Sites-pandora-master-catalog/default/dwbb259ca6/productimages/singlepackshot/799643C01_RGB.png")</f>
        <v>https://us.pandora.net/on/demandware.static/-/Sites-pandora-master-catalog/default/dwbb259ca6/productimages/singlepackshot/799643C01_RGB.png</v>
      </c>
    </row>
    <row r="3555" spans="1:4" x14ac:dyDescent="0.25">
      <c r="A3555" s="3" t="s">
        <v>3557</v>
      </c>
      <c r="B3555" s="4">
        <v>65</v>
      </c>
      <c r="C3555" s="3" t="str">
        <f ca="1">IFERROR(ROWSDUMMYFUNCTION(IF(A3555="","",IFERROR(IMAGE(CONCATENATE("https://us.pandora.net/on/demandware.static/-/Sites-pandora-master-catalog/default/dwbb259ca6/productimages/singlepackshot/",LEFT(A3555,FIND("-",A3555&amp;"-")-1),"_RGB.png")),""))),"{""url"":""https://us.pandora.net/on/demandware.static/-/Sites-pandora-master-catalog/default/dwbb259ca6/productimages/singlepackshot/799645C01_RGB.png"",""mode"":1}")</f>
        <v>{"url":"https://us.pandora.net/on/demandware.static/-/Sites-pandora-master-catalog/default/dwbb259ca6/productimages/singlepackshot/799645C01_RGB.png","mode":1}</v>
      </c>
      <c r="D3555" s="5" t="str">
        <f ca="1">IFERROR(ROWSDUMMYFUNCTION(IF(A3555="","",CONCATENATE("https://us.pandora.net/on/demandware.static/-/Sites-pandora-master-catalog/default/dwbb259ca6/productimages/singlepackshot/",LEFT(A3555,FIND("-",A3555&amp;"-")-1),"_RGB.png"))),"https://us.pandora.net/on/demandware.static/-/Sites-pandora-master-catalog/default/dwbb259ca6/productimages/singlepackshot/799645C01_RGB.png")</f>
        <v>https://us.pandora.net/on/demandware.static/-/Sites-pandora-master-catalog/default/dwbb259ca6/productimages/singlepackshot/799645C01_RGB.png</v>
      </c>
    </row>
    <row r="3556" spans="1:4" x14ac:dyDescent="0.25">
      <c r="A3556" s="3" t="s">
        <v>3558</v>
      </c>
      <c r="B3556" s="4">
        <v>59</v>
      </c>
      <c r="C3556" s="3" t="str">
        <f ca="1">IFERROR(ROWSDUMMYFUNCTION(IF(A3556="","",IFERROR(IMAGE(CONCATENATE("https://us.pandora.net/on/demandware.static/-/Sites-pandora-master-catalog/default/dwbb259ca6/productimages/singlepackshot/",LEFT(A3556,FIND("-",A3556&amp;"-")-1),"_RGB.png")),""))),"{""url"":""https://us.pandora.net/on/demandware.static/-/Sites-pandora-master-catalog/default/dwbb259ca6/productimages/singlepackshot/799646C01_RGB.png"",""mode"":1}")</f>
        <v>{"url":"https://us.pandora.net/on/demandware.static/-/Sites-pandora-master-catalog/default/dwbb259ca6/productimages/singlepackshot/799646C01_RGB.png","mode":1}</v>
      </c>
      <c r="D3556" s="5" t="str">
        <f ca="1">IFERROR(ROWSDUMMYFUNCTION(IF(A3556="","",CONCATENATE("https://us.pandora.net/on/demandware.static/-/Sites-pandora-master-catalog/default/dwbb259ca6/productimages/singlepackshot/",LEFT(A3556,FIND("-",A3556&amp;"-")-1),"_RGB.png"))),"https://us.pandora.net/on/demandware.static/-/Sites-pandora-master-catalog/default/dwbb259ca6/productimages/singlepackshot/799646C01_RGB.png")</f>
        <v>https://us.pandora.net/on/demandware.static/-/Sites-pandora-master-catalog/default/dwbb259ca6/productimages/singlepackshot/799646C01_RGB.png</v>
      </c>
    </row>
    <row r="3557" spans="1:4" x14ac:dyDescent="0.25">
      <c r="A3557" s="3" t="s">
        <v>3559</v>
      </c>
      <c r="B3557" s="4">
        <v>39</v>
      </c>
      <c r="C3557" s="3" t="str">
        <f ca="1">IFERROR(ROWSDUMMYFUNCTION(IF(A3557="","",IFERROR(IMAGE(CONCATENATE("https://us.pandora.net/on/demandware.static/-/Sites-pandora-master-catalog/default/dwbb259ca6/productimages/singlepackshot/",LEFT(A3557,FIND("-",A3557&amp;"-")-1),"_RGB.png")),""))),"{""url"":""https://us.pandora.net/on/demandware.static/-/Sites-pandora-master-catalog/default/dwbb259ca6/productimages/singlepackshot/799660C02_RGB.png"",""mode"":1}")</f>
        <v>{"url":"https://us.pandora.net/on/demandware.static/-/Sites-pandora-master-catalog/default/dwbb259ca6/productimages/singlepackshot/799660C02_RGB.png","mode":1}</v>
      </c>
      <c r="D3557" s="5" t="str">
        <f ca="1">IFERROR(ROWSDUMMYFUNCTION(IF(A3557="","",CONCATENATE("https://us.pandora.net/on/demandware.static/-/Sites-pandora-master-catalog/default/dwbb259ca6/productimages/singlepackshot/",LEFT(A3557,FIND("-",A3557&amp;"-")-1),"_RGB.png"))),"https://us.pandora.net/on/demandware.static/-/Sites-pandora-master-catalog/default/dwbb259ca6/productimages/singlepackshot/799660C02_RGB.png")</f>
        <v>https://us.pandora.net/on/demandware.static/-/Sites-pandora-master-catalog/default/dwbb259ca6/productimages/singlepackshot/799660C02_RGB.png</v>
      </c>
    </row>
  </sheetData>
  <hyperlinks>
    <hyperlink ref="D2" r:id="rId1" display="https://us.pandora.net/on/demandware.static/-/Sites-pandora-master-catalog/default/dwbb259ca6/productimages/singlepackshot/160050C01_RGB.png"/>
    <hyperlink ref="D3" r:id="rId2" display="https://us.pandora.net/on/demandware.static/-/Sites-pandora-master-catalog/default/dwbb259ca6/productimages/singlepackshot/160050C01_RGB.png"/>
    <hyperlink ref="D4" r:id="rId3" display="https://us.pandora.net/on/demandware.static/-/Sites-pandora-master-catalog/default/dwbb259ca6/productimages/singlepackshot/160050C01_RGB.png"/>
    <hyperlink ref="D5" r:id="rId4" display="https://us.pandora.net/on/demandware.static/-/Sites-pandora-master-catalog/default/dwbb259ca6/productimages/singlepackshot/160050C01_RGB.png"/>
    <hyperlink ref="D6" r:id="rId5" display="https://us.pandora.net/on/demandware.static/-/Sites-pandora-master-catalog/default/dwbb259ca6/productimages/singlepackshot/160050C01_RGB.png"/>
    <hyperlink ref="D7" r:id="rId6" display="https://us.pandora.net/on/demandware.static/-/Sites-pandora-master-catalog/default/dwbb259ca6/productimages/singlepackshot/160050C01_RGB.png"/>
    <hyperlink ref="D8" r:id="rId7" display="https://us.pandora.net/on/demandware.static/-/Sites-pandora-master-catalog/default/dwbb259ca6/productimages/singlepackshot/160050C01_RGB.png"/>
    <hyperlink ref="D9" r:id="rId8" display="https://us.pandora.net/on/demandware.static/-/Sites-pandora-master-catalog/default/dwbb259ca6/productimages/singlepackshot/160050C01_RGB.png"/>
    <hyperlink ref="D10" r:id="rId9" display="https://us.pandora.net/on/demandware.static/-/Sites-pandora-master-catalog/default/dwbb259ca6/productimages/singlepackshot/160050C01_RGB.png"/>
    <hyperlink ref="D11" r:id="rId10" display="https://us.pandora.net/on/demandware.static/-/Sites-pandora-master-catalog/default/dwbb259ca6/productimages/singlepackshot/160050C01_RGB.png"/>
    <hyperlink ref="D12" r:id="rId11" display="https://us.pandora.net/on/demandware.static/-/Sites-pandora-master-catalog/default/dwbb259ca6/productimages/singlepackshot/160050C01_RGB.png"/>
    <hyperlink ref="D13" r:id="rId12" display="https://us.pandora.net/on/demandware.static/-/Sites-pandora-master-catalog/default/dwbb259ca6/productimages/singlepackshot/160779C01_RGB.png"/>
    <hyperlink ref="D14" r:id="rId13" display="https://us.pandora.net/on/demandware.static/-/Sites-pandora-master-catalog/default/dwbb259ca6/productimages/singlepackshot/160779C01_RGB.png"/>
    <hyperlink ref="D15" r:id="rId14" display="https://us.pandora.net/on/demandware.static/-/Sites-pandora-master-catalog/default/dwbb259ca6/productimages/singlepackshot/160779C01_RGB.png"/>
    <hyperlink ref="D16" r:id="rId15" display="https://us.pandora.net/on/demandware.static/-/Sites-pandora-master-catalog/default/dwbb259ca6/productimages/singlepackshot/160779C01_RGB.png"/>
    <hyperlink ref="D17" r:id="rId16" display="https://us.pandora.net/on/demandware.static/-/Sites-pandora-master-catalog/default/dwbb259ca6/productimages/singlepackshot/160779C01_RGB.png"/>
    <hyperlink ref="D18" r:id="rId17" display="https://us.pandora.net/on/demandware.static/-/Sites-pandora-master-catalog/default/dwbb259ca6/productimages/singlepackshot/160779C01_RGB.png"/>
    <hyperlink ref="D19" r:id="rId18" display="https://us.pandora.net/on/demandware.static/-/Sites-pandora-master-catalog/default/dwbb259ca6/productimages/singlepackshot/160779C01_RGB.png"/>
    <hyperlink ref="D20" r:id="rId19" display="https://us.pandora.net/on/demandware.static/-/Sites-pandora-master-catalog/default/dwbb259ca6/productimages/singlepackshot/161198C01_RGB.png"/>
    <hyperlink ref="D21" r:id="rId20" display="https://us.pandora.net/on/demandware.static/-/Sites-pandora-master-catalog/default/dwbb259ca6/productimages/singlepackshot/161198C01_RGB.png"/>
    <hyperlink ref="D22" r:id="rId21" display="https://us.pandora.net/on/demandware.static/-/Sites-pandora-master-catalog/default/dwbb259ca6/productimages/singlepackshot/161198C01_RGB.png"/>
    <hyperlink ref="D23" r:id="rId22" display="https://us.pandora.net/on/demandware.static/-/Sites-pandora-master-catalog/default/dwbb259ca6/productimages/singlepackshot/161198C01_RGB.png"/>
    <hyperlink ref="D24" r:id="rId23" display="https://us.pandora.net/on/demandware.static/-/Sites-pandora-master-catalog/default/dwbb259ca6/productimages/singlepackshot/161198C01_RGB.png"/>
    <hyperlink ref="D25" r:id="rId24" display="https://us.pandora.net/on/demandware.static/-/Sites-pandora-master-catalog/default/dwbb259ca6/productimages/singlepackshot/161198C01_RGB.png"/>
    <hyperlink ref="D26" r:id="rId25" display="https://us.pandora.net/on/demandware.static/-/Sites-pandora-master-catalog/default/dwbb259ca6/productimages/singlepackshot/161198C01_RGB.png"/>
    <hyperlink ref="D27" r:id="rId26" display="https://us.pandora.net/on/demandware.static/-/Sites-pandora-master-catalog/default/dwbb259ca6/productimages/singlepackshot/161198C01_RGB.png"/>
    <hyperlink ref="D28" r:id="rId27" display="https://us.pandora.net/on/demandware.static/-/Sites-pandora-master-catalog/default/dwbb259ca6/productimages/singlepackshot/161198C01_RGB.png"/>
    <hyperlink ref="D29" r:id="rId28" display="https://us.pandora.net/on/demandware.static/-/Sites-pandora-master-catalog/default/dwbb259ca6/productimages/singlepackshot/161198C01_RGB.png"/>
    <hyperlink ref="D30" r:id="rId29" display="https://us.pandora.net/on/demandware.static/-/Sites-pandora-master-catalog/default/dwbb259ca6/productimages/singlepackshot/161198C01_RGB.png"/>
    <hyperlink ref="D31" r:id="rId30" display="https://us.pandora.net/on/demandware.static/-/Sites-pandora-master-catalog/default/dwbb259ca6/productimages/singlepackshot/161234C01_RGB.png"/>
    <hyperlink ref="D32" r:id="rId31" display="https://us.pandora.net/on/demandware.static/-/Sites-pandora-master-catalog/default/dwbb259ca6/productimages/singlepackshot/161234C01_RGB.png"/>
    <hyperlink ref="D33" r:id="rId32" display="https://us.pandora.net/on/demandware.static/-/Sites-pandora-master-catalog/default/dwbb259ca6/productimages/singlepackshot/161234C01_RGB.png"/>
    <hyperlink ref="D34" r:id="rId33" display="https://us.pandora.net/on/demandware.static/-/Sites-pandora-master-catalog/default/dwbb259ca6/productimages/singlepackshot/161234C01_RGB.png"/>
    <hyperlink ref="D35" r:id="rId34" display="https://us.pandora.net/on/demandware.static/-/Sites-pandora-master-catalog/default/dwbb259ca6/productimages/singlepackshot/161234C01_RGB.png"/>
    <hyperlink ref="D36" r:id="rId35" display="https://us.pandora.net/on/demandware.static/-/Sites-pandora-master-catalog/default/dwbb259ca6/productimages/singlepackshot/161234C01_RGB.png"/>
    <hyperlink ref="D37" r:id="rId36" display="https://us.pandora.net/on/demandware.static/-/Sites-pandora-master-catalog/default/dwbb259ca6/productimages/singlepackshot/161234C01_RGB.png"/>
    <hyperlink ref="D38" r:id="rId37" display="https://us.pandora.net/on/demandware.static/-/Sites-pandora-master-catalog/default/dwbb259ca6/productimages/singlepackshot/162232C01_RGB.png"/>
    <hyperlink ref="D39" r:id="rId38" display="https://us.pandora.net/on/demandware.static/-/Sites-pandora-master-catalog/default/dwbb259ca6/productimages/singlepackshot/162232C01_RGB.png"/>
    <hyperlink ref="D40" r:id="rId39" display="https://us.pandora.net/on/demandware.static/-/Sites-pandora-master-catalog/default/dwbb259ca6/productimages/singlepackshot/162232C01_RGB.png"/>
    <hyperlink ref="D41" r:id="rId40" display="https://us.pandora.net/on/demandware.static/-/Sites-pandora-master-catalog/default/dwbb259ca6/productimages/singlepackshot/162232C01_RGB.png"/>
    <hyperlink ref="D42" r:id="rId41" display="https://us.pandora.net/on/demandware.static/-/Sites-pandora-master-catalog/default/dwbb259ca6/productimages/singlepackshot/162232C01_RGB.png"/>
    <hyperlink ref="D43" r:id="rId42" display="https://us.pandora.net/on/demandware.static/-/Sites-pandora-master-catalog/default/dwbb259ca6/productimages/singlepackshot/162232C01_RGB.png"/>
    <hyperlink ref="D44" r:id="rId43" display="https://us.pandora.net/on/demandware.static/-/Sites-pandora-master-catalog/default/dwbb259ca6/productimages/singlepackshot/162232C01_RGB.png"/>
    <hyperlink ref="D45" r:id="rId44" display="https://us.pandora.net/on/demandware.static/-/Sites-pandora-master-catalog/default/dwbb259ca6/productimages/singlepackshot/162333C01_RGB.png"/>
    <hyperlink ref="D46" r:id="rId45" display="https://us.pandora.net/on/demandware.static/-/Sites-pandora-master-catalog/default/dwbb259ca6/productimages/singlepackshot/162333C01_RGB.png"/>
    <hyperlink ref="D47" r:id="rId46" display="https://us.pandora.net/on/demandware.static/-/Sites-pandora-master-catalog/default/dwbb259ca6/productimages/singlepackshot/162333C01_RGB.png"/>
    <hyperlink ref="D48" r:id="rId47" display="https://us.pandora.net/on/demandware.static/-/Sites-pandora-master-catalog/default/dwbb259ca6/productimages/singlepackshot/162333C01_RGB.png"/>
    <hyperlink ref="D49" r:id="rId48" display="https://us.pandora.net/on/demandware.static/-/Sites-pandora-master-catalog/default/dwbb259ca6/productimages/singlepackshot/162333C01_RGB.png"/>
    <hyperlink ref="D50" r:id="rId49" display="https://us.pandora.net/on/demandware.static/-/Sites-pandora-master-catalog/default/dwbb259ca6/productimages/singlepackshot/162333C01_RGB.png"/>
    <hyperlink ref="D51" r:id="rId50" display="https://us.pandora.net/on/demandware.static/-/Sites-pandora-master-catalog/default/dwbb259ca6/productimages/singlepackshot/162333C01_RGB.png"/>
    <hyperlink ref="D52" r:id="rId51" display="https://us.pandora.net/on/demandware.static/-/Sites-pandora-master-catalog/default/dwbb259ca6/productimages/singlepackshot/162344C01_RGB.png"/>
    <hyperlink ref="D53" r:id="rId52" display="https://us.pandora.net/on/demandware.static/-/Sites-pandora-master-catalog/default/dwbb259ca6/productimages/singlepackshot/162344C01_RGB.png"/>
    <hyperlink ref="D54" r:id="rId53" display="https://us.pandora.net/on/demandware.static/-/Sites-pandora-master-catalog/default/dwbb259ca6/productimages/singlepackshot/162344C01_RGB.png"/>
    <hyperlink ref="D55" r:id="rId54" display="https://us.pandora.net/on/demandware.static/-/Sites-pandora-master-catalog/default/dwbb259ca6/productimages/singlepackshot/162344C01_RGB.png"/>
    <hyperlink ref="D56" r:id="rId55" display="https://us.pandora.net/on/demandware.static/-/Sites-pandora-master-catalog/default/dwbb259ca6/productimages/singlepackshot/162344C01_RGB.png"/>
    <hyperlink ref="D57" r:id="rId56" display="https://us.pandora.net/on/demandware.static/-/Sites-pandora-master-catalog/default/dwbb259ca6/productimages/singlepackshot/162344C01_RGB.png"/>
    <hyperlink ref="D58" r:id="rId57" display="https://us.pandora.net/on/demandware.static/-/Sites-pandora-master-catalog/default/dwbb259ca6/productimages/singlepackshot/162344C01_RGB.png"/>
    <hyperlink ref="D59" r:id="rId58" display="https://us.pandora.net/on/demandware.static/-/Sites-pandora-master-catalog/default/dwbb259ca6/productimages/singlepackshot/162392C01_RGB.png"/>
    <hyperlink ref="D60" r:id="rId59" display="https://us.pandora.net/on/demandware.static/-/Sites-pandora-master-catalog/default/dwbb259ca6/productimages/singlepackshot/162392C01_RGB.png"/>
    <hyperlink ref="D61" r:id="rId60" display="https://us.pandora.net/on/demandware.static/-/Sites-pandora-master-catalog/default/dwbb259ca6/productimages/singlepackshot/162392C01_RGB.png"/>
    <hyperlink ref="D62" r:id="rId61" display="https://us.pandora.net/on/demandware.static/-/Sites-pandora-master-catalog/default/dwbb259ca6/productimages/singlepackshot/162392C01_RGB.png"/>
    <hyperlink ref="D63" r:id="rId62" display="https://us.pandora.net/on/demandware.static/-/Sites-pandora-master-catalog/default/dwbb259ca6/productimages/singlepackshot/162392C01_RGB.png"/>
    <hyperlink ref="D64" r:id="rId63" display="https://us.pandora.net/on/demandware.static/-/Sites-pandora-master-catalog/default/dwbb259ca6/productimages/singlepackshot/162392C01_RGB.png"/>
    <hyperlink ref="D65" r:id="rId64" display="https://us.pandora.net/on/demandware.static/-/Sites-pandora-master-catalog/default/dwbb259ca6/productimages/singlepackshot/162392C01_RGB.png"/>
    <hyperlink ref="D66" r:id="rId65" display="https://us.pandora.net/on/demandware.static/-/Sites-pandora-master-catalog/default/dwbb259ca6/productimages/singlepackshot/162539C01_RGB.png"/>
    <hyperlink ref="D67" r:id="rId66" display="https://us.pandora.net/on/demandware.static/-/Sites-pandora-master-catalog/default/dwbb259ca6/productimages/singlepackshot/162539C01_RGB.png"/>
    <hyperlink ref="D68" r:id="rId67" display="https://us.pandora.net/on/demandware.static/-/Sites-pandora-master-catalog/default/dwbb259ca6/productimages/singlepackshot/162539C01_RGB.png"/>
    <hyperlink ref="D69" r:id="rId68" display="https://us.pandora.net/on/demandware.static/-/Sites-pandora-master-catalog/default/dwbb259ca6/productimages/singlepackshot/162539C01_RGB.png"/>
    <hyperlink ref="D70" r:id="rId69" display="https://us.pandora.net/on/demandware.static/-/Sites-pandora-master-catalog/default/dwbb259ca6/productimages/singlepackshot/162539C01_RGB.png"/>
    <hyperlink ref="D71" r:id="rId70" display="https://us.pandora.net/on/demandware.static/-/Sites-pandora-master-catalog/default/dwbb259ca6/productimages/singlepackshot/162539C01_RGB.png"/>
    <hyperlink ref="D72" r:id="rId71" display="https://us.pandora.net/on/demandware.static/-/Sites-pandora-master-catalog/default/dwbb259ca6/productimages/singlepackshot/162539C01_RGB.png"/>
    <hyperlink ref="D73" r:id="rId72" display="https://us.pandora.net/on/demandware.static/-/Sites-pandora-master-catalog/default/dwbb259ca6/productimages/singlepackshot/162627C01_RGB.png"/>
    <hyperlink ref="D74" r:id="rId73" display="https://us.pandora.net/on/demandware.static/-/Sites-pandora-master-catalog/default/dwbb259ca6/productimages/singlepackshot/162627C01_RGB.png"/>
    <hyperlink ref="D75" r:id="rId74" display="https://us.pandora.net/on/demandware.static/-/Sites-pandora-master-catalog/default/dwbb259ca6/productimages/singlepackshot/162627C01_RGB.png"/>
    <hyperlink ref="D76" r:id="rId75" display="https://us.pandora.net/on/demandware.static/-/Sites-pandora-master-catalog/default/dwbb259ca6/productimages/singlepackshot/162627C01_RGB.png"/>
    <hyperlink ref="D77" r:id="rId76" display="https://us.pandora.net/on/demandware.static/-/Sites-pandora-master-catalog/default/dwbb259ca6/productimages/singlepackshot/162627C01_RGB.png"/>
    <hyperlink ref="D78" r:id="rId77" display="https://us.pandora.net/on/demandware.static/-/Sites-pandora-master-catalog/default/dwbb259ca6/productimages/singlepackshot/162627C01_RGB.png"/>
    <hyperlink ref="D79" r:id="rId78" display="https://us.pandora.net/on/demandware.static/-/Sites-pandora-master-catalog/default/dwbb259ca6/productimages/singlepackshot/162627C01_RGB.png"/>
    <hyperlink ref="D80" r:id="rId79" display="https://us.pandora.net/on/demandware.static/-/Sites-pandora-master-catalog/default/dwbb259ca6/productimages/singlepackshot/162634C01_RGB.png"/>
    <hyperlink ref="D81" r:id="rId80" display="https://us.pandora.net/on/demandware.static/-/Sites-pandora-master-catalog/default/dwbb259ca6/productimages/singlepackshot/162634C01_RGB.png"/>
    <hyperlink ref="D82" r:id="rId81" display="https://us.pandora.net/on/demandware.static/-/Sites-pandora-master-catalog/default/dwbb259ca6/productimages/singlepackshot/162634C01_RGB.png"/>
    <hyperlink ref="D83" r:id="rId82" display="https://us.pandora.net/on/demandware.static/-/Sites-pandora-master-catalog/default/dwbb259ca6/productimages/singlepackshot/162634C01_RGB.png"/>
    <hyperlink ref="D84" r:id="rId83" display="https://us.pandora.net/on/demandware.static/-/Sites-pandora-master-catalog/default/dwbb259ca6/productimages/singlepackshot/162634C01_RGB.png"/>
    <hyperlink ref="D85" r:id="rId84" display="https://us.pandora.net/on/demandware.static/-/Sites-pandora-master-catalog/default/dwbb259ca6/productimages/singlepackshot/162634C01_RGB.png"/>
    <hyperlink ref="D86" r:id="rId85" display="https://us.pandora.net/on/demandware.static/-/Sites-pandora-master-catalog/default/dwbb259ca6/productimages/singlepackshot/162634C01_RGB.png"/>
    <hyperlink ref="D87" r:id="rId86" display="https://us.pandora.net/on/demandware.static/-/Sites-pandora-master-catalog/default/dwbb259ca6/productimages/singlepackshot/162674C01_RGB.png"/>
    <hyperlink ref="D88" r:id="rId87" display="https://us.pandora.net/on/demandware.static/-/Sites-pandora-master-catalog/default/dwbb259ca6/productimages/singlepackshot/162674C01_RGB.png"/>
    <hyperlink ref="D89" r:id="rId88" display="https://us.pandora.net/on/demandware.static/-/Sites-pandora-master-catalog/default/dwbb259ca6/productimages/singlepackshot/162674C01_RGB.png"/>
    <hyperlink ref="D90" r:id="rId89" display="https://us.pandora.net/on/demandware.static/-/Sites-pandora-master-catalog/default/dwbb259ca6/productimages/singlepackshot/162674C01_RGB.png"/>
    <hyperlink ref="D91" r:id="rId90" display="https://us.pandora.net/on/demandware.static/-/Sites-pandora-master-catalog/default/dwbb259ca6/productimages/singlepackshot/162674C01_RGB.png"/>
    <hyperlink ref="D92" r:id="rId91" display="https://us.pandora.net/on/demandware.static/-/Sites-pandora-master-catalog/default/dwbb259ca6/productimages/singlepackshot/162674C01_RGB.png"/>
    <hyperlink ref="D93" r:id="rId92" display="https://us.pandora.net/on/demandware.static/-/Sites-pandora-master-catalog/default/dwbb259ca6/productimages/singlepackshot/162674C01_RGB.png"/>
    <hyperlink ref="D94" r:id="rId93" display="https://us.pandora.net/on/demandware.static/-/Sites-pandora-master-catalog/default/dwbb259ca6/productimages/singlepackshot/162800C01_RGB.png"/>
    <hyperlink ref="D95" r:id="rId94" display="https://us.pandora.net/on/demandware.static/-/Sites-pandora-master-catalog/default/dwbb259ca6/productimages/singlepackshot/162800C01_RGB.png"/>
    <hyperlink ref="D96" r:id="rId95" display="https://us.pandora.net/on/demandware.static/-/Sites-pandora-master-catalog/default/dwbb259ca6/productimages/singlepackshot/162800C01_RGB.png"/>
    <hyperlink ref="D97" r:id="rId96" display="https://us.pandora.net/on/demandware.static/-/Sites-pandora-master-catalog/default/dwbb259ca6/productimages/singlepackshot/162800C01_RGB.png"/>
    <hyperlink ref="D98" r:id="rId97" display="https://us.pandora.net/on/demandware.static/-/Sites-pandora-master-catalog/default/dwbb259ca6/productimages/singlepackshot/162800C01_RGB.png"/>
    <hyperlink ref="D99" r:id="rId98" display="https://us.pandora.net/on/demandware.static/-/Sites-pandora-master-catalog/default/dwbb259ca6/productimages/singlepackshot/162800C01_RGB.png"/>
    <hyperlink ref="D100" r:id="rId99" display="https://us.pandora.net/on/demandware.static/-/Sites-pandora-master-catalog/default/dwbb259ca6/productimages/singlepackshot/162800C01_RGB.png"/>
    <hyperlink ref="D101" r:id="rId100" display="https://us.pandora.net/on/demandware.static/-/Sites-pandora-master-catalog/default/dwbb259ca6/productimages/singlepackshot/162800C01_RGB.png"/>
    <hyperlink ref="D102" r:id="rId101" display="https://us.pandora.net/on/demandware.static/-/Sites-pandora-master-catalog/default/dwbb259ca6/productimages/singlepackshot/162999C01_RGB.png"/>
    <hyperlink ref="D103" r:id="rId102" display="https://us.pandora.net/on/demandware.static/-/Sites-pandora-master-catalog/default/dwbb259ca6/productimages/singlepackshot/162999C01_RGB.png"/>
    <hyperlink ref="D104" r:id="rId103" display="https://us.pandora.net/on/demandware.static/-/Sites-pandora-master-catalog/default/dwbb259ca6/productimages/singlepackshot/162999C01_RGB.png"/>
    <hyperlink ref="D105" r:id="rId104" display="https://us.pandora.net/on/demandware.static/-/Sites-pandora-master-catalog/default/dwbb259ca6/productimages/singlepackshot/162999C01_RGB.png"/>
    <hyperlink ref="D106" r:id="rId105" display="https://us.pandora.net/on/demandware.static/-/Sites-pandora-master-catalog/default/dwbb259ca6/productimages/singlepackshot/162999C01_RGB.png"/>
    <hyperlink ref="D107" r:id="rId106" display="https://us.pandora.net/on/demandware.static/-/Sites-pandora-master-catalog/default/dwbb259ca6/productimages/singlepackshot/162999C01_RGB.png"/>
    <hyperlink ref="D108" r:id="rId107" display="https://us.pandora.net/on/demandware.static/-/Sites-pandora-master-catalog/default/dwbb259ca6/productimages/singlepackshot/162999C01_RGB.png"/>
    <hyperlink ref="D109" r:id="rId108" display="https://us.pandora.net/on/demandware.static/-/Sites-pandora-master-catalog/default/dwbb259ca6/productimages/singlepackshot/162999C01_RGB.png"/>
    <hyperlink ref="D110" r:id="rId109" display="https://us.pandora.net/on/demandware.static/-/Sites-pandora-master-catalog/default/dwbb259ca6/productimages/singlepackshot/162999C01_RGB.png"/>
    <hyperlink ref="D111" r:id="rId110" display="https://us.pandora.net/on/demandware.static/-/Sites-pandora-master-catalog/default/dwbb259ca6/productimages/singlepackshot/162999C01_RGB.png"/>
    <hyperlink ref="D112" r:id="rId111" display="https://us.pandora.net/on/demandware.static/-/Sites-pandora-master-catalog/default/dwbb259ca6/productimages/singlepackshot/162999C01_RGB.png"/>
    <hyperlink ref="D113" r:id="rId112" display="https://us.pandora.net/on/demandware.static/-/Sites-pandora-master-catalog/default/dwbb259ca6/productimages/singlepackshot/163059C01_RGB.png"/>
    <hyperlink ref="D114" r:id="rId113" display="https://us.pandora.net/on/demandware.static/-/Sites-pandora-master-catalog/default/dwbb259ca6/productimages/singlepackshot/163059C01_RGB.png"/>
    <hyperlink ref="D115" r:id="rId114" display="https://us.pandora.net/on/demandware.static/-/Sites-pandora-master-catalog/default/dwbb259ca6/productimages/singlepackshot/163059C01_RGB.png"/>
    <hyperlink ref="D116" r:id="rId115" display="https://us.pandora.net/on/demandware.static/-/Sites-pandora-master-catalog/default/dwbb259ca6/productimages/singlepackshot/163059C01_RGB.png"/>
    <hyperlink ref="D117" r:id="rId116" display="https://us.pandora.net/on/demandware.static/-/Sites-pandora-master-catalog/default/dwbb259ca6/productimages/singlepackshot/163059C01_RGB.png"/>
    <hyperlink ref="D118" r:id="rId117" display="https://us.pandora.net/on/demandware.static/-/Sites-pandora-master-catalog/default/dwbb259ca6/productimages/singlepackshot/163059C01_RGB.png"/>
    <hyperlink ref="D119" r:id="rId118" display="https://us.pandora.net/on/demandware.static/-/Sites-pandora-master-catalog/default/dwbb259ca6/productimages/singlepackshot/163059C01_RGB.png"/>
    <hyperlink ref="D120" r:id="rId119" display="https://us.pandora.net/on/demandware.static/-/Sites-pandora-master-catalog/default/dwbb259ca6/productimages/singlepackshot/163088C01_RGB.png"/>
    <hyperlink ref="D121" r:id="rId120" display="https://us.pandora.net/on/demandware.static/-/Sites-pandora-master-catalog/default/dwbb259ca6/productimages/singlepackshot/163088C01_RGB.png"/>
    <hyperlink ref="D122" r:id="rId121" display="https://us.pandora.net/on/demandware.static/-/Sites-pandora-master-catalog/default/dwbb259ca6/productimages/singlepackshot/163088C01_RGB.png"/>
    <hyperlink ref="D123" r:id="rId122" display="https://us.pandora.net/on/demandware.static/-/Sites-pandora-master-catalog/default/dwbb259ca6/productimages/singlepackshot/163088C01_RGB.png"/>
    <hyperlink ref="D124" r:id="rId123" display="https://us.pandora.net/on/demandware.static/-/Sites-pandora-master-catalog/default/dwbb259ca6/productimages/singlepackshot/163088C01_RGB.png"/>
    <hyperlink ref="D125" r:id="rId124" display="https://us.pandora.net/on/demandware.static/-/Sites-pandora-master-catalog/default/dwbb259ca6/productimages/singlepackshot/163088C01_RGB.png"/>
    <hyperlink ref="D126" r:id="rId125" display="https://us.pandora.net/on/demandware.static/-/Sites-pandora-master-catalog/default/dwbb259ca6/productimages/singlepackshot/163088C01_RGB.png"/>
    <hyperlink ref="D127" r:id="rId126" display="https://us.pandora.net/on/demandware.static/-/Sites-pandora-master-catalog/default/dwbb259ca6/productimages/singlepackshot/163088C01_RGB.png"/>
    <hyperlink ref="D128" r:id="rId127" display="https://us.pandora.net/on/demandware.static/-/Sites-pandora-master-catalog/default/dwbb259ca6/productimages/singlepackshot/163095C00_RGB.png"/>
    <hyperlink ref="D129" r:id="rId128" display="https://us.pandora.net/on/demandware.static/-/Sites-pandora-master-catalog/default/dwbb259ca6/productimages/singlepackshot/163095C00_RGB.png"/>
    <hyperlink ref="D130" r:id="rId129" display="https://us.pandora.net/on/demandware.static/-/Sites-pandora-master-catalog/default/dwbb259ca6/productimages/singlepackshot/163095C00_RGB.png"/>
    <hyperlink ref="D131" r:id="rId130" display="https://us.pandora.net/on/demandware.static/-/Sites-pandora-master-catalog/default/dwbb259ca6/productimages/singlepackshot/163095C00_RGB.png"/>
    <hyperlink ref="D132" r:id="rId131" display="https://us.pandora.net/on/demandware.static/-/Sites-pandora-master-catalog/default/dwbb259ca6/productimages/singlepackshot/163095C00_RGB.png"/>
    <hyperlink ref="D133" r:id="rId132" display="https://us.pandora.net/on/demandware.static/-/Sites-pandora-master-catalog/default/dwbb259ca6/productimages/singlepackshot/163095C00_RGB.png"/>
    <hyperlink ref="D134" r:id="rId133" display="https://us.pandora.net/on/demandware.static/-/Sites-pandora-master-catalog/default/dwbb259ca6/productimages/singlepackshot/163095C00_RGB.png"/>
    <hyperlink ref="D135" r:id="rId134" display="https://us.pandora.net/on/demandware.static/-/Sites-pandora-master-catalog/default/dwbb259ca6/productimages/singlepackshot/163100C01_RGB.png"/>
    <hyperlink ref="D136" r:id="rId135" display="https://us.pandora.net/on/demandware.static/-/Sites-pandora-master-catalog/default/dwbb259ca6/productimages/singlepackshot/163100C01_RGB.png"/>
    <hyperlink ref="D137" r:id="rId136" display="https://us.pandora.net/on/demandware.static/-/Sites-pandora-master-catalog/default/dwbb259ca6/productimages/singlepackshot/163100C01_RGB.png"/>
    <hyperlink ref="D138" r:id="rId137" display="https://us.pandora.net/on/demandware.static/-/Sites-pandora-master-catalog/default/dwbb259ca6/productimages/singlepackshot/163100C01_RGB.png"/>
    <hyperlink ref="D139" r:id="rId138" display="https://us.pandora.net/on/demandware.static/-/Sites-pandora-master-catalog/default/dwbb259ca6/productimages/singlepackshot/163100C01_RGB.png"/>
    <hyperlink ref="D140" r:id="rId139" display="https://us.pandora.net/on/demandware.static/-/Sites-pandora-master-catalog/default/dwbb259ca6/productimages/singlepackshot/163100C01_RGB.png"/>
    <hyperlink ref="D141" r:id="rId140" display="https://us.pandora.net/on/demandware.static/-/Sites-pandora-master-catalog/default/dwbb259ca6/productimages/singlepackshot/163100C01_RGB.png"/>
    <hyperlink ref="D142" r:id="rId141" display="https://us.pandora.net/on/demandware.static/-/Sites-pandora-master-catalog/default/dwbb259ca6/productimages/singlepackshot/163103C01_RGB.png"/>
    <hyperlink ref="D143" r:id="rId142" display="https://us.pandora.net/on/demandware.static/-/Sites-pandora-master-catalog/default/dwbb259ca6/productimages/singlepackshot/163103C01_RGB.png"/>
    <hyperlink ref="D144" r:id="rId143" display="https://us.pandora.net/on/demandware.static/-/Sites-pandora-master-catalog/default/dwbb259ca6/productimages/singlepackshot/163103C01_RGB.png"/>
    <hyperlink ref="D145" r:id="rId144" display="https://us.pandora.net/on/demandware.static/-/Sites-pandora-master-catalog/default/dwbb259ca6/productimages/singlepackshot/163103C01_RGB.png"/>
    <hyperlink ref="D146" r:id="rId145" display="https://us.pandora.net/on/demandware.static/-/Sites-pandora-master-catalog/default/dwbb259ca6/productimages/singlepackshot/163103C01_RGB.png"/>
    <hyperlink ref="D147" r:id="rId146" display="https://us.pandora.net/on/demandware.static/-/Sites-pandora-master-catalog/default/dwbb259ca6/productimages/singlepackshot/163103C01_RGB.png"/>
    <hyperlink ref="D148" r:id="rId147" display="https://us.pandora.net/on/demandware.static/-/Sites-pandora-master-catalog/default/dwbb259ca6/productimages/singlepackshot/163103C01_RGB.png"/>
    <hyperlink ref="D149" r:id="rId148" display="https://us.pandora.net/on/demandware.static/-/Sites-pandora-master-catalog/default/dwbb259ca6/productimages/singlepackshot/163146C01_RGB.png"/>
    <hyperlink ref="D150" r:id="rId149" display="https://us.pandora.net/on/demandware.static/-/Sites-pandora-master-catalog/default/dwbb259ca6/productimages/singlepackshot/163146C01_RGB.png"/>
    <hyperlink ref="D151" r:id="rId150" display="https://us.pandora.net/on/demandware.static/-/Sites-pandora-master-catalog/default/dwbb259ca6/productimages/singlepackshot/163146C01_RGB.png"/>
    <hyperlink ref="D152" r:id="rId151" display="https://us.pandora.net/on/demandware.static/-/Sites-pandora-master-catalog/default/dwbb259ca6/productimages/singlepackshot/163146C01_RGB.png"/>
    <hyperlink ref="D153" r:id="rId152" display="https://us.pandora.net/on/demandware.static/-/Sites-pandora-master-catalog/default/dwbb259ca6/productimages/singlepackshot/163146C01_RGB.png"/>
    <hyperlink ref="D154" r:id="rId153" display="https://us.pandora.net/on/demandware.static/-/Sites-pandora-master-catalog/default/dwbb259ca6/productimages/singlepackshot/163146C01_RGB.png"/>
    <hyperlink ref="D155" r:id="rId154" display="https://us.pandora.net/on/demandware.static/-/Sites-pandora-master-catalog/default/dwbb259ca6/productimages/singlepackshot/163146C01_RGB.png"/>
    <hyperlink ref="D156" r:id="rId155" display="https://us.pandora.net/on/demandware.static/-/Sites-pandora-master-catalog/default/dwbb259ca6/productimages/singlepackshot/163156C01_RGB.png"/>
    <hyperlink ref="D157" r:id="rId156" display="https://us.pandora.net/on/demandware.static/-/Sites-pandora-master-catalog/default/dwbb259ca6/productimages/singlepackshot/163156C01_RGB.png"/>
    <hyperlink ref="D158" r:id="rId157" display="https://us.pandora.net/on/demandware.static/-/Sites-pandora-master-catalog/default/dwbb259ca6/productimages/singlepackshot/163156C01_RGB.png"/>
    <hyperlink ref="D159" r:id="rId158" display="https://us.pandora.net/on/demandware.static/-/Sites-pandora-master-catalog/default/dwbb259ca6/productimages/singlepackshot/163156C01_RGB.png"/>
    <hyperlink ref="D160" r:id="rId159" display="https://us.pandora.net/on/demandware.static/-/Sites-pandora-master-catalog/default/dwbb259ca6/productimages/singlepackshot/163156C01_RGB.png"/>
    <hyperlink ref="D161" r:id="rId160" display="https://us.pandora.net/on/demandware.static/-/Sites-pandora-master-catalog/default/dwbb259ca6/productimages/singlepackshot/163156C01_RGB.png"/>
    <hyperlink ref="D162" r:id="rId161" display="https://us.pandora.net/on/demandware.static/-/Sites-pandora-master-catalog/default/dwbb259ca6/productimages/singlepackshot/163156C01_RGB.png"/>
    <hyperlink ref="D163" r:id="rId162" display="https://us.pandora.net/on/demandware.static/-/Sites-pandora-master-catalog/default/dwbb259ca6/productimages/singlepackshot/163157C01_RGB.png"/>
    <hyperlink ref="D164" r:id="rId163" display="https://us.pandora.net/on/demandware.static/-/Sites-pandora-master-catalog/default/dwbb259ca6/productimages/singlepackshot/163157C01_RGB.png"/>
    <hyperlink ref="D165" r:id="rId164" display="https://us.pandora.net/on/demandware.static/-/Sites-pandora-master-catalog/default/dwbb259ca6/productimages/singlepackshot/163157C01_RGB.png"/>
    <hyperlink ref="D166" r:id="rId165" display="https://us.pandora.net/on/demandware.static/-/Sites-pandora-master-catalog/default/dwbb259ca6/productimages/singlepackshot/163157C01_RGB.png"/>
    <hyperlink ref="D167" r:id="rId166" display="https://us.pandora.net/on/demandware.static/-/Sites-pandora-master-catalog/default/dwbb259ca6/productimages/singlepackshot/163157C01_RGB.png"/>
    <hyperlink ref="D168" r:id="rId167" display="https://us.pandora.net/on/demandware.static/-/Sites-pandora-master-catalog/default/dwbb259ca6/productimages/singlepackshot/163157C01_RGB.png"/>
    <hyperlink ref="D169" r:id="rId168" display="https://us.pandora.net/on/demandware.static/-/Sites-pandora-master-catalog/default/dwbb259ca6/productimages/singlepackshot/163157C01_RGB.png"/>
    <hyperlink ref="D170" r:id="rId169" display="https://us.pandora.net/on/demandware.static/-/Sites-pandora-master-catalog/default/dwbb259ca6/productimages/singlepackshot/163258C01_RGB.png"/>
    <hyperlink ref="D171" r:id="rId170" display="https://us.pandora.net/on/demandware.static/-/Sites-pandora-master-catalog/default/dwbb259ca6/productimages/singlepackshot/163258C01_RGB.png"/>
    <hyperlink ref="D172" r:id="rId171" display="https://us.pandora.net/on/demandware.static/-/Sites-pandora-master-catalog/default/dwbb259ca6/productimages/singlepackshot/163258C01_RGB.png"/>
    <hyperlink ref="D173" r:id="rId172" display="https://us.pandora.net/on/demandware.static/-/Sites-pandora-master-catalog/default/dwbb259ca6/productimages/singlepackshot/163258C01_RGB.png"/>
    <hyperlink ref="D174" r:id="rId173" display="https://us.pandora.net/on/demandware.static/-/Sites-pandora-master-catalog/default/dwbb259ca6/productimages/singlepackshot/163258C01_RGB.png"/>
    <hyperlink ref="D175" r:id="rId174" display="https://us.pandora.net/on/demandware.static/-/Sites-pandora-master-catalog/default/dwbb259ca6/productimages/singlepackshot/163258C01_RGB.png"/>
    <hyperlink ref="D176" r:id="rId175" display="https://us.pandora.net/on/demandware.static/-/Sites-pandora-master-catalog/default/dwbb259ca6/productimages/singlepackshot/163258C01_RGB.png"/>
    <hyperlink ref="D177" r:id="rId176" display="https://us.pandora.net/on/demandware.static/-/Sites-pandora-master-catalog/default/dwbb259ca6/productimages/singlepackshot/163262C00_RGB.png"/>
    <hyperlink ref="D178" r:id="rId177" display="https://us.pandora.net/on/demandware.static/-/Sites-pandora-master-catalog/default/dwbb259ca6/productimages/singlepackshot/163262C00_RGB.png"/>
    <hyperlink ref="D179" r:id="rId178" display="https://us.pandora.net/on/demandware.static/-/Sites-pandora-master-catalog/default/dwbb259ca6/productimages/singlepackshot/163262C00_RGB.png"/>
    <hyperlink ref="D180" r:id="rId179" display="https://us.pandora.net/on/demandware.static/-/Sites-pandora-master-catalog/default/dwbb259ca6/productimages/singlepackshot/163262C00_RGB.png"/>
    <hyperlink ref="D181" r:id="rId180" display="https://us.pandora.net/on/demandware.static/-/Sites-pandora-master-catalog/default/dwbb259ca6/productimages/singlepackshot/163262C00_RGB.png"/>
    <hyperlink ref="D182" r:id="rId181" display="https://us.pandora.net/on/demandware.static/-/Sites-pandora-master-catalog/default/dwbb259ca6/productimages/singlepackshot/163262C00_RGB.png"/>
    <hyperlink ref="D183" r:id="rId182" display="https://us.pandora.net/on/demandware.static/-/Sites-pandora-master-catalog/default/dwbb259ca6/productimages/singlepackshot/163262C00_RGB.png"/>
    <hyperlink ref="D184" r:id="rId183" display="https://us.pandora.net/on/demandware.static/-/Sites-pandora-master-catalog/default/dwbb259ca6/productimages/singlepackshot/163264C00_RGB.png"/>
    <hyperlink ref="D185" r:id="rId184" display="https://us.pandora.net/on/demandware.static/-/Sites-pandora-master-catalog/default/dwbb259ca6/productimages/singlepackshot/163264C00_RGB.png"/>
    <hyperlink ref="D186" r:id="rId185" display="https://us.pandora.net/on/demandware.static/-/Sites-pandora-master-catalog/default/dwbb259ca6/productimages/singlepackshot/163264C00_RGB.png"/>
    <hyperlink ref="D187" r:id="rId186" display="https://us.pandora.net/on/demandware.static/-/Sites-pandora-master-catalog/default/dwbb259ca6/productimages/singlepackshot/163264C00_RGB.png"/>
    <hyperlink ref="D188" r:id="rId187" display="https://us.pandora.net/on/demandware.static/-/Sites-pandora-master-catalog/default/dwbb259ca6/productimages/singlepackshot/163264C00_RGB.png"/>
    <hyperlink ref="D189" r:id="rId188" display="https://us.pandora.net/on/demandware.static/-/Sites-pandora-master-catalog/default/dwbb259ca6/productimages/singlepackshot/163264C00_RGB.png"/>
    <hyperlink ref="D190" r:id="rId189" display="https://us.pandora.net/on/demandware.static/-/Sites-pandora-master-catalog/default/dwbb259ca6/productimages/singlepackshot/163264C00_RGB.png"/>
    <hyperlink ref="D191" r:id="rId190" display="https://us.pandora.net/on/demandware.static/-/Sites-pandora-master-catalog/default/dwbb259ca6/productimages/singlepackshot/163285C01_RGB.png"/>
    <hyperlink ref="D192" r:id="rId191" display="https://us.pandora.net/on/demandware.static/-/Sites-pandora-master-catalog/default/dwbb259ca6/productimages/singlepackshot/163285C01_RGB.png"/>
    <hyperlink ref="D193" r:id="rId192" display="https://us.pandora.net/on/demandware.static/-/Sites-pandora-master-catalog/default/dwbb259ca6/productimages/singlepackshot/163285C01_RGB.png"/>
    <hyperlink ref="D194" r:id="rId193" display="https://us.pandora.net/on/demandware.static/-/Sites-pandora-master-catalog/default/dwbb259ca6/productimages/singlepackshot/163285C01_RGB.png"/>
    <hyperlink ref="D195" r:id="rId194" display="https://us.pandora.net/on/demandware.static/-/Sites-pandora-master-catalog/default/dwbb259ca6/productimages/singlepackshot/163285C01_RGB.png"/>
    <hyperlink ref="D196" r:id="rId195" display="https://us.pandora.net/on/demandware.static/-/Sites-pandora-master-catalog/default/dwbb259ca6/productimages/singlepackshot/163285C01_RGB.png"/>
    <hyperlink ref="D197" r:id="rId196" display="https://us.pandora.net/on/demandware.static/-/Sites-pandora-master-catalog/default/dwbb259ca6/productimages/singlepackshot/163285C01_RGB.png"/>
    <hyperlink ref="D198" r:id="rId197" display="https://us.pandora.net/on/demandware.static/-/Sites-pandora-master-catalog/default/dwbb259ca6/productimages/singlepackshot/163288C00_RGB.png"/>
    <hyperlink ref="D199" r:id="rId198" display="https://us.pandora.net/on/demandware.static/-/Sites-pandora-master-catalog/default/dwbb259ca6/productimages/singlepackshot/163288C00_RGB.png"/>
    <hyperlink ref="D200" r:id="rId199" display="https://us.pandora.net/on/demandware.static/-/Sites-pandora-master-catalog/default/dwbb259ca6/productimages/singlepackshot/163288C00_RGB.png"/>
    <hyperlink ref="D201" r:id="rId200" display="https://us.pandora.net/on/demandware.static/-/Sites-pandora-master-catalog/default/dwbb259ca6/productimages/singlepackshot/163288C00_RGB.png"/>
    <hyperlink ref="D202" r:id="rId201" display="https://us.pandora.net/on/demandware.static/-/Sites-pandora-master-catalog/default/dwbb259ca6/productimages/singlepackshot/163288C00_RGB.png"/>
    <hyperlink ref="D203" r:id="rId202" display="https://us.pandora.net/on/demandware.static/-/Sites-pandora-master-catalog/default/dwbb259ca6/productimages/singlepackshot/163288C00_RGB.png"/>
    <hyperlink ref="D204" r:id="rId203" display="https://us.pandora.net/on/demandware.static/-/Sites-pandora-master-catalog/default/dwbb259ca6/productimages/singlepackshot/163288C00_RGB.png"/>
    <hyperlink ref="D205" r:id="rId204" display="https://us.pandora.net/on/demandware.static/-/Sites-pandora-master-catalog/default/dwbb259ca6/productimages/singlepackshot/163293C01_RGB.png"/>
    <hyperlink ref="D206" r:id="rId205" display="https://us.pandora.net/on/demandware.static/-/Sites-pandora-master-catalog/default/dwbb259ca6/productimages/singlepackshot/163293C01_RGB.png"/>
    <hyperlink ref="D207" r:id="rId206" display="https://us.pandora.net/on/demandware.static/-/Sites-pandora-master-catalog/default/dwbb259ca6/productimages/singlepackshot/163293C01_RGB.png"/>
    <hyperlink ref="D208" r:id="rId207" display="https://us.pandora.net/on/demandware.static/-/Sites-pandora-master-catalog/default/dwbb259ca6/productimages/singlepackshot/163293C01_RGB.png"/>
    <hyperlink ref="D209" r:id="rId208" display="https://us.pandora.net/on/demandware.static/-/Sites-pandora-master-catalog/default/dwbb259ca6/productimages/singlepackshot/163293C01_RGB.png"/>
    <hyperlink ref="D210" r:id="rId209" display="https://us.pandora.net/on/demandware.static/-/Sites-pandora-master-catalog/default/dwbb259ca6/productimages/singlepackshot/163293C01_RGB.png"/>
    <hyperlink ref="D211" r:id="rId210" display="https://us.pandora.net/on/demandware.static/-/Sites-pandora-master-catalog/default/dwbb259ca6/productimages/singlepackshot/163293C01_RGB.png"/>
    <hyperlink ref="D212" r:id="rId211" display="https://us.pandora.net/on/demandware.static/-/Sites-pandora-master-catalog/default/dwbb259ca6/productimages/singlepackshot/163314C00_RGB.png"/>
    <hyperlink ref="D213" r:id="rId212" display="https://us.pandora.net/on/demandware.static/-/Sites-pandora-master-catalog/default/dwbb259ca6/productimages/singlepackshot/163314C00_RGB.png"/>
    <hyperlink ref="D214" r:id="rId213" display="https://us.pandora.net/on/demandware.static/-/Sites-pandora-master-catalog/default/dwbb259ca6/productimages/singlepackshot/163314C00_RGB.png"/>
    <hyperlink ref="D215" r:id="rId214" display="https://us.pandora.net/on/demandware.static/-/Sites-pandora-master-catalog/default/dwbb259ca6/productimages/singlepackshot/163314C00_RGB.png"/>
    <hyperlink ref="D216" r:id="rId215" display="https://us.pandora.net/on/demandware.static/-/Sites-pandora-master-catalog/default/dwbb259ca6/productimages/singlepackshot/163314C00_RGB.png"/>
    <hyperlink ref="D217" r:id="rId216" display="https://us.pandora.net/on/demandware.static/-/Sites-pandora-master-catalog/default/dwbb259ca6/productimages/singlepackshot/163314C00_RGB.png"/>
    <hyperlink ref="D218" r:id="rId217" display="https://us.pandora.net/on/demandware.static/-/Sites-pandora-master-catalog/default/dwbb259ca6/productimages/singlepackshot/163314C00_RGB.png"/>
    <hyperlink ref="D219" r:id="rId218" display="https://us.pandora.net/on/demandware.static/-/Sites-pandora-master-catalog/default/dwbb259ca6/productimages/singlepackshot/163318C00_RGB.png"/>
    <hyperlink ref="D220" r:id="rId219" display="https://us.pandora.net/on/demandware.static/-/Sites-pandora-master-catalog/default/dwbb259ca6/productimages/singlepackshot/163318C00_RGB.png"/>
    <hyperlink ref="D221" r:id="rId220" display="https://us.pandora.net/on/demandware.static/-/Sites-pandora-master-catalog/default/dwbb259ca6/productimages/singlepackshot/163318C00_RGB.png"/>
    <hyperlink ref="D222" r:id="rId221" display="https://us.pandora.net/on/demandware.static/-/Sites-pandora-master-catalog/default/dwbb259ca6/productimages/singlepackshot/163318C00_RGB.png"/>
    <hyperlink ref="D223" r:id="rId222" display="https://us.pandora.net/on/demandware.static/-/Sites-pandora-master-catalog/default/dwbb259ca6/productimages/singlepackshot/163318C00_RGB.png"/>
    <hyperlink ref="D224" r:id="rId223" display="https://us.pandora.net/on/demandware.static/-/Sites-pandora-master-catalog/default/dwbb259ca6/productimages/singlepackshot/163318C00_RGB.png"/>
    <hyperlink ref="D225" r:id="rId224" display="https://us.pandora.net/on/demandware.static/-/Sites-pandora-master-catalog/default/dwbb259ca6/productimages/singlepackshot/163318C00_RGB.png"/>
    <hyperlink ref="D226" r:id="rId225" display="https://us.pandora.net/on/demandware.static/-/Sites-pandora-master-catalog/default/dwbb259ca6/productimages/singlepackshot/163322C01_RGB.png"/>
    <hyperlink ref="D227" r:id="rId226" display="https://us.pandora.net/on/demandware.static/-/Sites-pandora-master-catalog/default/dwbb259ca6/productimages/singlepackshot/163322C01_RGB.png"/>
    <hyperlink ref="D228" r:id="rId227" display="https://us.pandora.net/on/demandware.static/-/Sites-pandora-master-catalog/default/dwbb259ca6/productimages/singlepackshot/163322C01_RGB.png"/>
    <hyperlink ref="D229" r:id="rId228" display="https://us.pandora.net/on/demandware.static/-/Sites-pandora-master-catalog/default/dwbb259ca6/productimages/singlepackshot/163322C01_RGB.png"/>
    <hyperlink ref="D230" r:id="rId229" display="https://us.pandora.net/on/demandware.static/-/Sites-pandora-master-catalog/default/dwbb259ca6/productimages/singlepackshot/163322C01_RGB.png"/>
    <hyperlink ref="D231" r:id="rId230" display="https://us.pandora.net/on/demandware.static/-/Sites-pandora-master-catalog/default/dwbb259ca6/productimages/singlepackshot/163322C01_RGB.png"/>
    <hyperlink ref="D232" r:id="rId231" display="https://us.pandora.net/on/demandware.static/-/Sites-pandora-master-catalog/default/dwbb259ca6/productimages/singlepackshot/163322C01_RGB.png"/>
    <hyperlink ref="D233" r:id="rId232" display="https://us.pandora.net/on/demandware.static/-/Sites-pandora-master-catalog/default/dwbb259ca6/productimages/singlepackshot/163322C01_RGB.png"/>
    <hyperlink ref="D234" r:id="rId233" display="https://us.pandora.net/on/demandware.static/-/Sites-pandora-master-catalog/default/dwbb259ca6/productimages/singlepackshot/163322C01_RGB.png"/>
    <hyperlink ref="D235" r:id="rId234" display="https://us.pandora.net/on/demandware.static/-/Sites-pandora-master-catalog/default/dwbb259ca6/productimages/singlepackshot/163322C01_RGB.png"/>
    <hyperlink ref="D236" r:id="rId235" display="https://us.pandora.net/on/demandware.static/-/Sites-pandora-master-catalog/default/dwbb259ca6/productimages/singlepackshot/163325C01_RGB.png"/>
    <hyperlink ref="D237" r:id="rId236" display="https://us.pandora.net/on/demandware.static/-/Sites-pandora-master-catalog/default/dwbb259ca6/productimages/singlepackshot/163325C01_RGB.png"/>
    <hyperlink ref="D238" r:id="rId237" display="https://us.pandora.net/on/demandware.static/-/Sites-pandora-master-catalog/default/dwbb259ca6/productimages/singlepackshot/163325C01_RGB.png"/>
    <hyperlink ref="D239" r:id="rId238" display="https://us.pandora.net/on/demandware.static/-/Sites-pandora-master-catalog/default/dwbb259ca6/productimages/singlepackshot/163325C01_RGB.png"/>
    <hyperlink ref="D240" r:id="rId239" display="https://us.pandora.net/on/demandware.static/-/Sites-pandora-master-catalog/default/dwbb259ca6/productimages/singlepackshot/163325C01_RGB.png"/>
    <hyperlink ref="D241" r:id="rId240" display="https://us.pandora.net/on/demandware.static/-/Sites-pandora-master-catalog/default/dwbb259ca6/productimages/singlepackshot/163325C01_RGB.png"/>
    <hyperlink ref="D242" r:id="rId241" display="https://us.pandora.net/on/demandware.static/-/Sites-pandora-master-catalog/default/dwbb259ca6/productimages/singlepackshot/163325C01_RGB.png"/>
    <hyperlink ref="D243" r:id="rId242" display="https://us.pandora.net/on/demandware.static/-/Sites-pandora-master-catalog/default/dwbb259ca6/productimages/singlepackshot/163325C01_RGB.png"/>
    <hyperlink ref="D244" r:id="rId243" display="https://us.pandora.net/on/demandware.static/-/Sites-pandora-master-catalog/default/dwbb259ca6/productimages/singlepackshot/163362C00_RGB.png"/>
    <hyperlink ref="D245" r:id="rId244" display="https://us.pandora.net/on/demandware.static/-/Sites-pandora-master-catalog/default/dwbb259ca6/productimages/singlepackshot/163362C00_RGB.png"/>
    <hyperlink ref="D246" r:id="rId245" display="https://us.pandora.net/on/demandware.static/-/Sites-pandora-master-catalog/default/dwbb259ca6/productimages/singlepackshot/163362C00_RGB.png"/>
    <hyperlink ref="D247" r:id="rId246" display="https://us.pandora.net/on/demandware.static/-/Sites-pandora-master-catalog/default/dwbb259ca6/productimages/singlepackshot/163362C00_RGB.png"/>
    <hyperlink ref="D248" r:id="rId247" display="https://us.pandora.net/on/demandware.static/-/Sites-pandora-master-catalog/default/dwbb259ca6/productimages/singlepackshot/163362C00_RGB.png"/>
    <hyperlink ref="D249" r:id="rId248" display="https://us.pandora.net/on/demandware.static/-/Sites-pandora-master-catalog/default/dwbb259ca6/productimages/singlepackshot/163362C00_RGB.png"/>
    <hyperlink ref="D250" r:id="rId249" display="https://us.pandora.net/on/demandware.static/-/Sites-pandora-master-catalog/default/dwbb259ca6/productimages/singlepackshot/163362C00_RGB.png"/>
    <hyperlink ref="D251" r:id="rId250" display="https://us.pandora.net/on/demandware.static/-/Sites-pandora-master-catalog/default/dwbb259ca6/productimages/singlepackshot/163422C01_RGB.png"/>
    <hyperlink ref="D252" r:id="rId251" display="https://us.pandora.net/on/demandware.static/-/Sites-pandora-master-catalog/default/dwbb259ca6/productimages/singlepackshot/163422C01_RGB.png"/>
    <hyperlink ref="D253" r:id="rId252" display="https://us.pandora.net/on/demandware.static/-/Sites-pandora-master-catalog/default/dwbb259ca6/productimages/singlepackshot/163422C01_RGB.png"/>
    <hyperlink ref="D254" r:id="rId253" display="https://us.pandora.net/on/demandware.static/-/Sites-pandora-master-catalog/default/dwbb259ca6/productimages/singlepackshot/163422C01_RGB.png"/>
    <hyperlink ref="D255" r:id="rId254" display="https://us.pandora.net/on/demandware.static/-/Sites-pandora-master-catalog/default/dwbb259ca6/productimages/singlepackshot/163422C01_RGB.png"/>
    <hyperlink ref="D256" r:id="rId255" display="https://us.pandora.net/on/demandware.static/-/Sites-pandora-master-catalog/default/dwbb259ca6/productimages/singlepackshot/163422C01_RGB.png"/>
    <hyperlink ref="D257" r:id="rId256" display="https://us.pandora.net/on/demandware.static/-/Sites-pandora-master-catalog/default/dwbb259ca6/productimages/singlepackshot/163422C01_RGB.png"/>
    <hyperlink ref="D258" r:id="rId257" display="https://us.pandora.net/on/demandware.static/-/Sites-pandora-master-catalog/default/dwbb259ca6/productimages/singlepackshot/163427C00_RGB.png"/>
    <hyperlink ref="D259" r:id="rId258" display="https://us.pandora.net/on/demandware.static/-/Sites-pandora-master-catalog/default/dwbb259ca6/productimages/singlepackshot/163427C00_RGB.png"/>
    <hyperlink ref="D260" r:id="rId259" display="https://us.pandora.net/on/demandware.static/-/Sites-pandora-master-catalog/default/dwbb259ca6/productimages/singlepackshot/163427C00_RGB.png"/>
    <hyperlink ref="D261" r:id="rId260" display="https://us.pandora.net/on/demandware.static/-/Sites-pandora-master-catalog/default/dwbb259ca6/productimages/singlepackshot/163427C00_RGB.png"/>
    <hyperlink ref="D262" r:id="rId261" display="https://us.pandora.net/on/demandware.static/-/Sites-pandora-master-catalog/default/dwbb259ca6/productimages/singlepackshot/163427C00_RGB.png"/>
    <hyperlink ref="D263" r:id="rId262" display="https://us.pandora.net/on/demandware.static/-/Sites-pandora-master-catalog/default/dwbb259ca6/productimages/singlepackshot/163427C00_RGB.png"/>
    <hyperlink ref="D264" r:id="rId263" display="https://us.pandora.net/on/demandware.static/-/Sites-pandora-master-catalog/default/dwbb259ca6/productimages/singlepackshot/163427C00_RGB.png"/>
    <hyperlink ref="D265" r:id="rId264" display="https://us.pandora.net/on/demandware.static/-/Sites-pandora-master-catalog/default/dwbb259ca6/productimages/singlepackshot/163510C01_RGB.png"/>
    <hyperlink ref="D266" r:id="rId265" display="https://us.pandora.net/on/demandware.static/-/Sites-pandora-master-catalog/default/dwbb259ca6/productimages/singlepackshot/163510C01_RGB.png"/>
    <hyperlink ref="D267" r:id="rId266" display="https://us.pandora.net/on/demandware.static/-/Sites-pandora-master-catalog/default/dwbb259ca6/productimages/singlepackshot/163510C01_RGB.png"/>
    <hyperlink ref="D268" r:id="rId267" display="https://us.pandora.net/on/demandware.static/-/Sites-pandora-master-catalog/default/dwbb259ca6/productimages/singlepackshot/163510C01_RGB.png"/>
    <hyperlink ref="D269" r:id="rId268" display="https://us.pandora.net/on/demandware.static/-/Sites-pandora-master-catalog/default/dwbb259ca6/productimages/singlepackshot/163510C01_RGB.png"/>
    <hyperlink ref="D270" r:id="rId269" display="https://us.pandora.net/on/demandware.static/-/Sites-pandora-master-catalog/default/dwbb259ca6/productimages/singlepackshot/163510C01_RGB.png"/>
    <hyperlink ref="D271" r:id="rId270" display="https://us.pandora.net/on/demandware.static/-/Sites-pandora-master-catalog/default/dwbb259ca6/productimages/singlepackshot/163510C01_RGB.png"/>
    <hyperlink ref="D272" r:id="rId271" display="https://us.pandora.net/on/demandware.static/-/Sites-pandora-master-catalog/default/dwbb259ca6/productimages/singlepackshot/163511C01_RGB.png"/>
    <hyperlink ref="D273" r:id="rId272" display="https://us.pandora.net/on/demandware.static/-/Sites-pandora-master-catalog/default/dwbb259ca6/productimages/singlepackshot/163511C01_RGB.png"/>
    <hyperlink ref="D274" r:id="rId273" display="https://us.pandora.net/on/demandware.static/-/Sites-pandora-master-catalog/default/dwbb259ca6/productimages/singlepackshot/163511C01_RGB.png"/>
    <hyperlink ref="D275" r:id="rId274" display="https://us.pandora.net/on/demandware.static/-/Sites-pandora-master-catalog/default/dwbb259ca6/productimages/singlepackshot/163511C01_RGB.png"/>
    <hyperlink ref="D276" r:id="rId275" display="https://us.pandora.net/on/demandware.static/-/Sites-pandora-master-catalog/default/dwbb259ca6/productimages/singlepackshot/163511C01_RGB.png"/>
    <hyperlink ref="D277" r:id="rId276" display="https://us.pandora.net/on/demandware.static/-/Sites-pandora-master-catalog/default/dwbb259ca6/productimages/singlepackshot/163511C01_RGB.png"/>
    <hyperlink ref="D278" r:id="rId277" display="https://us.pandora.net/on/demandware.static/-/Sites-pandora-master-catalog/default/dwbb259ca6/productimages/singlepackshot/163511C01_RGB.png"/>
    <hyperlink ref="D279" r:id="rId278" display="https://us.pandora.net/on/demandware.static/-/Sites-pandora-master-catalog/default/dwbb259ca6/productimages/singlepackshot/163552C01_RGB.png"/>
    <hyperlink ref="D280" r:id="rId279" display="https://us.pandora.net/on/demandware.static/-/Sites-pandora-master-catalog/default/dwbb259ca6/productimages/singlepackshot/163552C01_RGB.png"/>
    <hyperlink ref="D281" r:id="rId280" display="https://us.pandora.net/on/demandware.static/-/Sites-pandora-master-catalog/default/dwbb259ca6/productimages/singlepackshot/163552C01_RGB.png"/>
    <hyperlink ref="D282" r:id="rId281" display="https://us.pandora.net/on/demandware.static/-/Sites-pandora-master-catalog/default/dwbb259ca6/productimages/singlepackshot/163552C01_RGB.png"/>
    <hyperlink ref="D283" r:id="rId282" display="https://us.pandora.net/on/demandware.static/-/Sites-pandora-master-catalog/default/dwbb259ca6/productimages/singlepackshot/163552C01_RGB.png"/>
    <hyperlink ref="D284" r:id="rId283" display="https://us.pandora.net/on/demandware.static/-/Sites-pandora-master-catalog/default/dwbb259ca6/productimages/singlepackshot/163552C01_RGB.png"/>
    <hyperlink ref="D285" r:id="rId284" display="https://us.pandora.net/on/demandware.static/-/Sites-pandora-master-catalog/default/dwbb259ca6/productimages/singlepackshot/163552C01_RGB.png"/>
    <hyperlink ref="D286" r:id="rId285" display="https://us.pandora.net/on/demandware.static/-/Sites-pandora-master-catalog/default/dwbb259ca6/productimages/singlepackshot/163554C01_RGB.png"/>
    <hyperlink ref="D287" r:id="rId286" display="https://us.pandora.net/on/demandware.static/-/Sites-pandora-master-catalog/default/dwbb259ca6/productimages/singlepackshot/163554C01_RGB.png"/>
    <hyperlink ref="D288" r:id="rId287" display="https://us.pandora.net/on/demandware.static/-/Sites-pandora-master-catalog/default/dwbb259ca6/productimages/singlepackshot/163554C01_RGB.png"/>
    <hyperlink ref="D289" r:id="rId288" display="https://us.pandora.net/on/demandware.static/-/Sites-pandora-master-catalog/default/dwbb259ca6/productimages/singlepackshot/163554C01_RGB.png"/>
    <hyperlink ref="D290" r:id="rId289" display="https://us.pandora.net/on/demandware.static/-/Sites-pandora-master-catalog/default/dwbb259ca6/productimages/singlepackshot/163554C01_RGB.png"/>
    <hyperlink ref="D291" r:id="rId290" display="https://us.pandora.net/on/demandware.static/-/Sites-pandora-master-catalog/default/dwbb259ca6/productimages/singlepackshot/163554C01_RGB.png"/>
    <hyperlink ref="D292" r:id="rId291" display="https://us.pandora.net/on/demandware.static/-/Sites-pandora-master-catalog/default/dwbb259ca6/productimages/singlepackshot/163554C01_RGB.png"/>
    <hyperlink ref="D293" r:id="rId292" display="https://us.pandora.net/on/demandware.static/-/Sites-pandora-master-catalog/default/dwbb259ca6/productimages/singlepackshot/163555C01_RGB.png"/>
    <hyperlink ref="D294" r:id="rId293" display="https://us.pandora.net/on/demandware.static/-/Sites-pandora-master-catalog/default/dwbb259ca6/productimages/singlepackshot/163555C01_RGB.png"/>
    <hyperlink ref="D295" r:id="rId294" display="https://us.pandora.net/on/demandware.static/-/Sites-pandora-master-catalog/default/dwbb259ca6/productimages/singlepackshot/163555C01_RGB.png"/>
    <hyperlink ref="D296" r:id="rId295" display="https://us.pandora.net/on/demandware.static/-/Sites-pandora-master-catalog/default/dwbb259ca6/productimages/singlepackshot/163555C01_RGB.png"/>
    <hyperlink ref="D297" r:id="rId296" display="https://us.pandora.net/on/demandware.static/-/Sites-pandora-master-catalog/default/dwbb259ca6/productimages/singlepackshot/163555C01_RGB.png"/>
    <hyperlink ref="D298" r:id="rId297" display="https://us.pandora.net/on/demandware.static/-/Sites-pandora-master-catalog/default/dwbb259ca6/productimages/singlepackshot/163555C01_RGB.png"/>
    <hyperlink ref="D299" r:id="rId298" display="https://us.pandora.net/on/demandware.static/-/Sites-pandora-master-catalog/default/dwbb259ca6/productimages/singlepackshot/163555C01_RGB.png"/>
    <hyperlink ref="D300" r:id="rId299" display="https://us.pandora.net/on/demandware.static/-/Sites-pandora-master-catalog/default/dwbb259ca6/productimages/singlepackshot/163557C01_RGB.png"/>
    <hyperlink ref="D301" r:id="rId300" display="https://us.pandora.net/on/demandware.static/-/Sites-pandora-master-catalog/default/dwbb259ca6/productimages/singlepackshot/163557C01_RGB.png"/>
    <hyperlink ref="D302" r:id="rId301" display="https://us.pandora.net/on/demandware.static/-/Sites-pandora-master-catalog/default/dwbb259ca6/productimages/singlepackshot/163557C01_RGB.png"/>
    <hyperlink ref="D303" r:id="rId302" display="https://us.pandora.net/on/demandware.static/-/Sites-pandora-master-catalog/default/dwbb259ca6/productimages/singlepackshot/163557C01_RGB.png"/>
    <hyperlink ref="D304" r:id="rId303" display="https://us.pandora.net/on/demandware.static/-/Sites-pandora-master-catalog/default/dwbb259ca6/productimages/singlepackshot/163557C01_RGB.png"/>
    <hyperlink ref="D305" r:id="rId304" display="https://us.pandora.net/on/demandware.static/-/Sites-pandora-master-catalog/default/dwbb259ca6/productimages/singlepackshot/163557C01_RGB.png"/>
    <hyperlink ref="D306" r:id="rId305" display="https://us.pandora.net/on/demandware.static/-/Sites-pandora-master-catalog/default/dwbb259ca6/productimages/singlepackshot/163557C01_RGB.png"/>
    <hyperlink ref="D307" r:id="rId306" display="https://us.pandora.net/on/demandware.static/-/Sites-pandora-master-catalog/default/dwbb259ca6/productimages/singlepackshot/163557C01_RGB.png"/>
    <hyperlink ref="D308" r:id="rId307" display="https://us.pandora.net/on/demandware.static/-/Sites-pandora-master-catalog/default/dwbb259ca6/productimages/singlepackshot/163557C01_RGB.png"/>
    <hyperlink ref="D309" r:id="rId308" display="https://us.pandora.net/on/demandware.static/-/Sites-pandora-master-catalog/default/dwbb259ca6/productimages/singlepackshot/163582C01_RGB.png"/>
    <hyperlink ref="D310" r:id="rId309" display="https://us.pandora.net/on/demandware.static/-/Sites-pandora-master-catalog/default/dwbb259ca6/productimages/singlepackshot/163582C01_RGB.png"/>
    <hyperlink ref="D311" r:id="rId310" display="https://us.pandora.net/on/demandware.static/-/Sites-pandora-master-catalog/default/dwbb259ca6/productimages/singlepackshot/163582C01_RGB.png"/>
    <hyperlink ref="D312" r:id="rId311" display="https://us.pandora.net/on/demandware.static/-/Sites-pandora-master-catalog/default/dwbb259ca6/productimages/singlepackshot/163582C01_RGB.png"/>
    <hyperlink ref="D313" r:id="rId312" display="https://us.pandora.net/on/demandware.static/-/Sites-pandora-master-catalog/default/dwbb259ca6/productimages/singlepackshot/163582C01_RGB.png"/>
    <hyperlink ref="D314" r:id="rId313" display="https://us.pandora.net/on/demandware.static/-/Sites-pandora-master-catalog/default/dwbb259ca6/productimages/singlepackshot/163582C01_RGB.png"/>
    <hyperlink ref="D315" r:id="rId314" display="https://us.pandora.net/on/demandware.static/-/Sites-pandora-master-catalog/default/dwbb259ca6/productimages/singlepackshot/163582C01_RGB.png"/>
    <hyperlink ref="D316" r:id="rId315" display="https://us.pandora.net/on/demandware.static/-/Sites-pandora-master-catalog/default/dwbb259ca6/productimages/singlepackshot/163651C01_RGB.png"/>
    <hyperlink ref="D317" r:id="rId316" display="https://us.pandora.net/on/demandware.static/-/Sites-pandora-master-catalog/default/dwbb259ca6/productimages/singlepackshot/163651C01_RGB.png"/>
    <hyperlink ref="D318" r:id="rId317" display="https://us.pandora.net/on/demandware.static/-/Sites-pandora-master-catalog/default/dwbb259ca6/productimages/singlepackshot/163651C01_RGB.png"/>
    <hyperlink ref="D319" r:id="rId318" display="https://us.pandora.net/on/demandware.static/-/Sites-pandora-master-catalog/default/dwbb259ca6/productimages/singlepackshot/163651C01_RGB.png"/>
    <hyperlink ref="D320" r:id="rId319" display="https://us.pandora.net/on/demandware.static/-/Sites-pandora-master-catalog/default/dwbb259ca6/productimages/singlepackshot/163651C01_RGB.png"/>
    <hyperlink ref="D321" r:id="rId320" display="https://us.pandora.net/on/demandware.static/-/Sites-pandora-master-catalog/default/dwbb259ca6/productimages/singlepackshot/163651C01_RGB.png"/>
    <hyperlink ref="D322" r:id="rId321" display="https://us.pandora.net/on/demandware.static/-/Sites-pandora-master-catalog/default/dwbb259ca6/productimages/singlepackshot/163651C01_RGB.png"/>
    <hyperlink ref="D323" r:id="rId322" display="https://us.pandora.net/on/demandware.static/-/Sites-pandora-master-catalog/default/dwbb259ca6/productimages/singlepackshot/163653C01_RGB.png"/>
    <hyperlink ref="D324" r:id="rId323" display="https://us.pandora.net/on/demandware.static/-/Sites-pandora-master-catalog/default/dwbb259ca6/productimages/singlepackshot/163653C01_RGB.png"/>
    <hyperlink ref="D325" r:id="rId324" display="https://us.pandora.net/on/demandware.static/-/Sites-pandora-master-catalog/default/dwbb259ca6/productimages/singlepackshot/163653C01_RGB.png"/>
    <hyperlink ref="D326" r:id="rId325" display="https://us.pandora.net/on/demandware.static/-/Sites-pandora-master-catalog/default/dwbb259ca6/productimages/singlepackshot/163653C01_RGB.png"/>
    <hyperlink ref="D327" r:id="rId326" display="https://us.pandora.net/on/demandware.static/-/Sites-pandora-master-catalog/default/dwbb259ca6/productimages/singlepackshot/163653C01_RGB.png"/>
    <hyperlink ref="D328" r:id="rId327" display="https://us.pandora.net/on/demandware.static/-/Sites-pandora-master-catalog/default/dwbb259ca6/productimages/singlepackshot/163653C01_RGB.png"/>
    <hyperlink ref="D329" r:id="rId328" display="https://us.pandora.net/on/demandware.static/-/Sites-pandora-master-catalog/default/dwbb259ca6/productimages/singlepackshot/163653C01_RGB.png"/>
    <hyperlink ref="D330" r:id="rId329" display="https://us.pandora.net/on/demandware.static/-/Sites-pandora-master-catalog/default/dwbb259ca6/productimages/singlepackshot/163654C01_RGB.png"/>
    <hyperlink ref="D331" r:id="rId330" display="https://us.pandora.net/on/demandware.static/-/Sites-pandora-master-catalog/default/dwbb259ca6/productimages/singlepackshot/163654C01_RGB.png"/>
    <hyperlink ref="D332" r:id="rId331" display="https://us.pandora.net/on/demandware.static/-/Sites-pandora-master-catalog/default/dwbb259ca6/productimages/singlepackshot/163654C01_RGB.png"/>
    <hyperlink ref="D333" r:id="rId332" display="https://us.pandora.net/on/demandware.static/-/Sites-pandora-master-catalog/default/dwbb259ca6/productimages/singlepackshot/163654C01_RGB.png"/>
    <hyperlink ref="D334" r:id="rId333" display="https://us.pandora.net/on/demandware.static/-/Sites-pandora-master-catalog/default/dwbb259ca6/productimages/singlepackshot/163654C01_RGB.png"/>
    <hyperlink ref="D335" r:id="rId334" display="https://us.pandora.net/on/demandware.static/-/Sites-pandora-master-catalog/default/dwbb259ca6/productimages/singlepackshot/163654C01_RGB.png"/>
    <hyperlink ref="D336" r:id="rId335" display="https://us.pandora.net/on/demandware.static/-/Sites-pandora-master-catalog/default/dwbb259ca6/productimages/singlepackshot/163654C01_RGB.png"/>
    <hyperlink ref="D337" r:id="rId336" display="https://us.pandora.net/on/demandware.static/-/Sites-pandora-master-catalog/default/dwbb259ca6/productimages/singlepackshot/163660C01_RGB.png"/>
    <hyperlink ref="D338" r:id="rId337" display="https://us.pandora.net/on/demandware.static/-/Sites-pandora-master-catalog/default/dwbb259ca6/productimages/singlepackshot/163660C01_RGB.png"/>
    <hyperlink ref="D339" r:id="rId338" display="https://us.pandora.net/on/demandware.static/-/Sites-pandora-master-catalog/default/dwbb259ca6/productimages/singlepackshot/163660C01_RGB.png"/>
    <hyperlink ref="D340" r:id="rId339" display="https://us.pandora.net/on/demandware.static/-/Sites-pandora-master-catalog/default/dwbb259ca6/productimages/singlepackshot/163660C01_RGB.png"/>
    <hyperlink ref="D341" r:id="rId340" display="https://us.pandora.net/on/demandware.static/-/Sites-pandora-master-catalog/default/dwbb259ca6/productimages/singlepackshot/163660C01_RGB.png"/>
    <hyperlink ref="D342" r:id="rId341" display="https://us.pandora.net/on/demandware.static/-/Sites-pandora-master-catalog/default/dwbb259ca6/productimages/singlepackshot/163660C01_RGB.png"/>
    <hyperlink ref="D343" r:id="rId342" display="https://us.pandora.net/on/demandware.static/-/Sites-pandora-master-catalog/default/dwbb259ca6/productimages/singlepackshot/163660C01_RGB.png"/>
    <hyperlink ref="D344" r:id="rId343" display="https://us.pandora.net/on/demandware.static/-/Sites-pandora-master-catalog/default/dwbb259ca6/productimages/singlepackshot/163686C01_RGB.png"/>
    <hyperlink ref="D345" r:id="rId344" display="https://us.pandora.net/on/demandware.static/-/Sites-pandora-master-catalog/default/dwbb259ca6/productimages/singlepackshot/163686C01_RGB.png"/>
    <hyperlink ref="D346" r:id="rId345" display="https://us.pandora.net/on/demandware.static/-/Sites-pandora-master-catalog/default/dwbb259ca6/productimages/singlepackshot/163686C01_RGB.png"/>
    <hyperlink ref="D347" r:id="rId346" display="https://us.pandora.net/on/demandware.static/-/Sites-pandora-master-catalog/default/dwbb259ca6/productimages/singlepackshot/163686C01_RGB.png"/>
    <hyperlink ref="D348" r:id="rId347" display="https://us.pandora.net/on/demandware.static/-/Sites-pandora-master-catalog/default/dwbb259ca6/productimages/singlepackshot/163686C01_RGB.png"/>
    <hyperlink ref="D349" r:id="rId348" display="https://us.pandora.net/on/demandware.static/-/Sites-pandora-master-catalog/default/dwbb259ca6/productimages/singlepackshot/163686C01_RGB.png"/>
    <hyperlink ref="D350" r:id="rId349" display="https://us.pandora.net/on/demandware.static/-/Sites-pandora-master-catalog/default/dwbb259ca6/productimages/singlepackshot/163686C01_RGB.png"/>
    <hyperlink ref="D351" r:id="rId350" display="https://us.pandora.net/on/demandware.static/-/Sites-pandora-master-catalog/default/dwbb259ca6/productimages/singlepackshot/163686C01_RGB.png"/>
    <hyperlink ref="D352" r:id="rId351" display="https://us.pandora.net/on/demandware.static/-/Sites-pandora-master-catalog/default/dwbb259ca6/productimages/singlepackshot/163686C01_RGB.png"/>
    <hyperlink ref="D353" r:id="rId352" display="https://us.pandora.net/on/demandware.static/-/Sites-pandora-master-catalog/default/dwbb259ca6/productimages/singlepackshot/163686C01_RGB.png"/>
    <hyperlink ref="D354" r:id="rId353" display="https://us.pandora.net/on/demandware.static/-/Sites-pandora-master-catalog/default/dwbb259ca6/productimages/singlepackshot/163686C01_RGB.png"/>
    <hyperlink ref="D355" r:id="rId354" display="https://us.pandora.net/on/demandware.static/-/Sites-pandora-master-catalog/default/dwbb259ca6/productimages/singlepackshot/163759C01_RGB.png"/>
    <hyperlink ref="D356" r:id="rId355" display="https://us.pandora.net/on/demandware.static/-/Sites-pandora-master-catalog/default/dwbb259ca6/productimages/singlepackshot/163759C01_RGB.png"/>
    <hyperlink ref="D357" r:id="rId356" display="https://us.pandora.net/on/demandware.static/-/Sites-pandora-master-catalog/default/dwbb259ca6/productimages/singlepackshot/163759C01_RGB.png"/>
    <hyperlink ref="D358" r:id="rId357" display="https://us.pandora.net/on/demandware.static/-/Sites-pandora-master-catalog/default/dwbb259ca6/productimages/singlepackshot/163759C01_RGB.png"/>
    <hyperlink ref="D359" r:id="rId358" display="https://us.pandora.net/on/demandware.static/-/Sites-pandora-master-catalog/default/dwbb259ca6/productimages/singlepackshot/163759C01_RGB.png"/>
    <hyperlink ref="D360" r:id="rId359" display="https://us.pandora.net/on/demandware.static/-/Sites-pandora-master-catalog/default/dwbb259ca6/productimages/singlepackshot/163759C01_RGB.png"/>
    <hyperlink ref="D361" r:id="rId360" display="https://us.pandora.net/on/demandware.static/-/Sites-pandora-master-catalog/default/dwbb259ca6/productimages/singlepackshot/163759C01_RGB.png"/>
    <hyperlink ref="D362" r:id="rId361" display="https://us.pandora.net/on/demandware.static/-/Sites-pandora-master-catalog/default/dwbb259ca6/productimages/singlepackshot/163797C01_RGB.png"/>
    <hyperlink ref="D363" r:id="rId362" display="https://us.pandora.net/on/demandware.static/-/Sites-pandora-master-catalog/default/dwbb259ca6/productimages/singlepackshot/163797C01_RGB.png"/>
    <hyperlink ref="D364" r:id="rId363" display="https://us.pandora.net/on/demandware.static/-/Sites-pandora-master-catalog/default/dwbb259ca6/productimages/singlepackshot/163797C01_RGB.png"/>
    <hyperlink ref="D365" r:id="rId364" display="https://us.pandora.net/on/demandware.static/-/Sites-pandora-master-catalog/default/dwbb259ca6/productimages/singlepackshot/163797C01_RGB.png"/>
    <hyperlink ref="D366" r:id="rId365" display="https://us.pandora.net/on/demandware.static/-/Sites-pandora-master-catalog/default/dwbb259ca6/productimages/singlepackshot/163797C01_RGB.png"/>
    <hyperlink ref="D367" r:id="rId366" display="https://us.pandora.net/on/demandware.static/-/Sites-pandora-master-catalog/default/dwbb259ca6/productimages/singlepackshot/163797C01_RGB.png"/>
    <hyperlink ref="D368" r:id="rId367" display="https://us.pandora.net/on/demandware.static/-/Sites-pandora-master-catalog/default/dwbb259ca6/productimages/singlepackshot/163797C01_RGB.png"/>
    <hyperlink ref="D369" r:id="rId368" display="https://us.pandora.net/on/demandware.static/-/Sites-pandora-master-catalog/default/dwbb259ca6/productimages/singlepackshot/163799C01_RGB.png"/>
    <hyperlink ref="D370" r:id="rId369" display="https://us.pandora.net/on/demandware.static/-/Sites-pandora-master-catalog/default/dwbb259ca6/productimages/singlepackshot/163799C01_RGB.png"/>
    <hyperlink ref="D371" r:id="rId370" display="https://us.pandora.net/on/demandware.static/-/Sites-pandora-master-catalog/default/dwbb259ca6/productimages/singlepackshot/163799C01_RGB.png"/>
    <hyperlink ref="D372" r:id="rId371" display="https://us.pandora.net/on/demandware.static/-/Sites-pandora-master-catalog/default/dwbb259ca6/productimages/singlepackshot/163799C01_RGB.png"/>
    <hyperlink ref="D373" r:id="rId372" display="https://us.pandora.net/on/demandware.static/-/Sites-pandora-master-catalog/default/dwbb259ca6/productimages/singlepackshot/163799C01_RGB.png"/>
    <hyperlink ref="D374" r:id="rId373" display="https://us.pandora.net/on/demandware.static/-/Sites-pandora-master-catalog/default/dwbb259ca6/productimages/singlepackshot/163799C01_RGB.png"/>
    <hyperlink ref="D375" r:id="rId374" display="https://us.pandora.net/on/demandware.static/-/Sites-pandora-master-catalog/default/dwbb259ca6/productimages/singlepackshot/163799C01_RGB.png"/>
    <hyperlink ref="D376" r:id="rId375" display="https://us.pandora.net/on/demandware.static/-/Sites-pandora-master-catalog/default/dwbb259ca6/productimages/singlepackshot/163800C01_RGB.png"/>
    <hyperlink ref="D377" r:id="rId376" display="https://us.pandora.net/on/demandware.static/-/Sites-pandora-master-catalog/default/dwbb259ca6/productimages/singlepackshot/163800C01_RGB.png"/>
    <hyperlink ref="D378" r:id="rId377" display="https://us.pandora.net/on/demandware.static/-/Sites-pandora-master-catalog/default/dwbb259ca6/productimages/singlepackshot/163800C01_RGB.png"/>
    <hyperlink ref="D379" r:id="rId378" display="https://us.pandora.net/on/demandware.static/-/Sites-pandora-master-catalog/default/dwbb259ca6/productimages/singlepackshot/163800C01_RGB.png"/>
    <hyperlink ref="D380" r:id="rId379" display="https://us.pandora.net/on/demandware.static/-/Sites-pandora-master-catalog/default/dwbb259ca6/productimages/singlepackshot/163800C01_RGB.png"/>
    <hyperlink ref="D381" r:id="rId380" display="https://us.pandora.net/on/demandware.static/-/Sites-pandora-master-catalog/default/dwbb259ca6/productimages/singlepackshot/163800C01_RGB.png"/>
    <hyperlink ref="D382" r:id="rId381" display="https://us.pandora.net/on/demandware.static/-/Sites-pandora-master-catalog/default/dwbb259ca6/productimages/singlepackshot/163800C01_RGB.png"/>
    <hyperlink ref="D383" r:id="rId382" display="https://us.pandora.net/on/demandware.static/-/Sites-pandora-master-catalog/default/dwbb259ca6/productimages/singlepackshot/163801C01_RGB.png"/>
    <hyperlink ref="D384" r:id="rId383" display="https://us.pandora.net/on/demandware.static/-/Sites-pandora-master-catalog/default/dwbb259ca6/productimages/singlepackshot/163801C01_RGB.png"/>
    <hyperlink ref="D385" r:id="rId384" display="https://us.pandora.net/on/demandware.static/-/Sites-pandora-master-catalog/default/dwbb259ca6/productimages/singlepackshot/163801C01_RGB.png"/>
    <hyperlink ref="D386" r:id="rId385" display="https://us.pandora.net/on/demandware.static/-/Sites-pandora-master-catalog/default/dwbb259ca6/productimages/singlepackshot/163801C01_RGB.png"/>
    <hyperlink ref="D387" r:id="rId386" display="https://us.pandora.net/on/demandware.static/-/Sites-pandora-master-catalog/default/dwbb259ca6/productimages/singlepackshot/163801C01_RGB.png"/>
    <hyperlink ref="D388" r:id="rId387" display="https://us.pandora.net/on/demandware.static/-/Sites-pandora-master-catalog/default/dwbb259ca6/productimages/singlepackshot/163801C01_RGB.png"/>
    <hyperlink ref="D389" r:id="rId388" display="https://us.pandora.net/on/demandware.static/-/Sites-pandora-master-catalog/default/dwbb259ca6/productimages/singlepackshot/163801C01_RGB.png"/>
    <hyperlink ref="D390" r:id="rId389" display="https://us.pandora.net/on/demandware.static/-/Sites-pandora-master-catalog/default/dwbb259ca6/productimages/singlepackshot/163802C01_RGB.png"/>
    <hyperlink ref="D391" r:id="rId390" display="https://us.pandora.net/on/demandware.static/-/Sites-pandora-master-catalog/default/dwbb259ca6/productimages/singlepackshot/163802C01_RGB.png"/>
    <hyperlink ref="D392" r:id="rId391" display="https://us.pandora.net/on/demandware.static/-/Sites-pandora-master-catalog/default/dwbb259ca6/productimages/singlepackshot/163802C01_RGB.png"/>
    <hyperlink ref="D393" r:id="rId392" display="https://us.pandora.net/on/demandware.static/-/Sites-pandora-master-catalog/default/dwbb259ca6/productimages/singlepackshot/163802C01_RGB.png"/>
    <hyperlink ref="D394" r:id="rId393" display="https://us.pandora.net/on/demandware.static/-/Sites-pandora-master-catalog/default/dwbb259ca6/productimages/singlepackshot/163802C01_RGB.png"/>
    <hyperlink ref="D395" r:id="rId394" display="https://us.pandora.net/on/demandware.static/-/Sites-pandora-master-catalog/default/dwbb259ca6/productimages/singlepackshot/163802C01_RGB.png"/>
    <hyperlink ref="D396" r:id="rId395" display="https://us.pandora.net/on/demandware.static/-/Sites-pandora-master-catalog/default/dwbb259ca6/productimages/singlepackshot/163802C01_RGB.png"/>
    <hyperlink ref="D397" r:id="rId396" display="https://us.pandora.net/on/demandware.static/-/Sites-pandora-master-catalog/default/dwbb259ca6/productimages/singlepackshot/163831C01_RGB.png"/>
    <hyperlink ref="D398" r:id="rId397" display="https://us.pandora.net/on/demandware.static/-/Sites-pandora-master-catalog/default/dwbb259ca6/productimages/singlepackshot/163831C01_RGB.png"/>
    <hyperlink ref="D399" r:id="rId398" display="https://us.pandora.net/on/demandware.static/-/Sites-pandora-master-catalog/default/dwbb259ca6/productimages/singlepackshot/163831C01_RGB.png"/>
    <hyperlink ref="D400" r:id="rId399" display="https://us.pandora.net/on/demandware.static/-/Sites-pandora-master-catalog/default/dwbb259ca6/productimages/singlepackshot/163831C01_RGB.png"/>
    <hyperlink ref="D401" r:id="rId400" display="https://us.pandora.net/on/demandware.static/-/Sites-pandora-master-catalog/default/dwbb259ca6/productimages/singlepackshot/163831C01_RGB.png"/>
    <hyperlink ref="D402" r:id="rId401" display="https://us.pandora.net/on/demandware.static/-/Sites-pandora-master-catalog/default/dwbb259ca6/productimages/singlepackshot/163831C01_RGB.png"/>
    <hyperlink ref="D403" r:id="rId402" display="https://us.pandora.net/on/demandware.static/-/Sites-pandora-master-catalog/default/dwbb259ca6/productimages/singlepackshot/163831C01_RGB.png"/>
    <hyperlink ref="D404" r:id="rId403" display="https://us.pandora.net/on/demandware.static/-/Sites-pandora-master-catalog/default/dwbb259ca6/productimages/singlepackshot/163832C00_RGB.png"/>
    <hyperlink ref="D405" r:id="rId404" display="https://us.pandora.net/on/demandware.static/-/Sites-pandora-master-catalog/default/dwbb259ca6/productimages/singlepackshot/163832C00_RGB.png"/>
    <hyperlink ref="D406" r:id="rId405" display="https://us.pandora.net/on/demandware.static/-/Sites-pandora-master-catalog/default/dwbb259ca6/productimages/singlepackshot/163832C00_RGB.png"/>
    <hyperlink ref="D407" r:id="rId406" display="https://us.pandora.net/on/demandware.static/-/Sites-pandora-master-catalog/default/dwbb259ca6/productimages/singlepackshot/163832C00_RGB.png"/>
    <hyperlink ref="D408" r:id="rId407" display="https://us.pandora.net/on/demandware.static/-/Sites-pandora-master-catalog/default/dwbb259ca6/productimages/singlepackshot/163832C00_RGB.png"/>
    <hyperlink ref="D409" r:id="rId408" display="https://us.pandora.net/on/demandware.static/-/Sites-pandora-master-catalog/default/dwbb259ca6/productimages/singlepackshot/163832C00_RGB.png"/>
    <hyperlink ref="D410" r:id="rId409" display="https://us.pandora.net/on/demandware.static/-/Sites-pandora-master-catalog/default/dwbb259ca6/productimages/singlepackshot/163832C00_RGB.png"/>
    <hyperlink ref="D411" r:id="rId410" display="https://us.pandora.net/on/demandware.static/-/Sites-pandora-master-catalog/default/dwbb259ca6/productimages/singlepackshot/163884C00_RGB.png"/>
    <hyperlink ref="D412" r:id="rId411" display="https://us.pandora.net/on/demandware.static/-/Sites-pandora-master-catalog/default/dwbb259ca6/productimages/singlepackshot/163884C00_RGB.png"/>
    <hyperlink ref="D413" r:id="rId412" display="https://us.pandora.net/on/demandware.static/-/Sites-pandora-master-catalog/default/dwbb259ca6/productimages/singlepackshot/163884C00_RGB.png"/>
    <hyperlink ref="D414" r:id="rId413" display="https://us.pandora.net/on/demandware.static/-/Sites-pandora-master-catalog/default/dwbb259ca6/productimages/singlepackshot/163884C00_RGB.png"/>
    <hyperlink ref="D415" r:id="rId414" display="https://us.pandora.net/on/demandware.static/-/Sites-pandora-master-catalog/default/dwbb259ca6/productimages/singlepackshot/163884C00_RGB.png"/>
    <hyperlink ref="D416" r:id="rId415" display="https://us.pandora.net/on/demandware.static/-/Sites-pandora-master-catalog/default/dwbb259ca6/productimages/singlepackshot/163884C00_RGB.png"/>
    <hyperlink ref="D417" r:id="rId416" display="https://us.pandora.net/on/demandware.static/-/Sites-pandora-master-catalog/default/dwbb259ca6/productimages/singlepackshot/163884C00_RGB.png"/>
    <hyperlink ref="D418" r:id="rId417" display="https://us.pandora.net/on/demandware.static/-/Sites-pandora-master-catalog/default/dwbb259ca6/productimages/singlepackshot/163885C00_RGB.png"/>
    <hyperlink ref="D419" r:id="rId418" display="https://us.pandora.net/on/demandware.static/-/Sites-pandora-master-catalog/default/dwbb259ca6/productimages/singlepackshot/163885C00_RGB.png"/>
    <hyperlink ref="D420" r:id="rId419" display="https://us.pandora.net/on/demandware.static/-/Sites-pandora-master-catalog/default/dwbb259ca6/productimages/singlepackshot/163885C00_RGB.png"/>
    <hyperlink ref="D421" r:id="rId420" display="https://us.pandora.net/on/demandware.static/-/Sites-pandora-master-catalog/default/dwbb259ca6/productimages/singlepackshot/163885C00_RGB.png"/>
    <hyperlink ref="D422" r:id="rId421" display="https://us.pandora.net/on/demandware.static/-/Sites-pandora-master-catalog/default/dwbb259ca6/productimages/singlepackshot/163885C00_RGB.png"/>
    <hyperlink ref="D423" r:id="rId422" display="https://us.pandora.net/on/demandware.static/-/Sites-pandora-master-catalog/default/dwbb259ca6/productimages/singlepackshot/163885C00_RGB.png"/>
    <hyperlink ref="D424" r:id="rId423" display="https://us.pandora.net/on/demandware.static/-/Sites-pandora-master-catalog/default/dwbb259ca6/productimages/singlepackshot/163885C00_RGB.png"/>
    <hyperlink ref="D425" r:id="rId424" display="https://us.pandora.net/on/demandware.static/-/Sites-pandora-master-catalog/default/dwbb259ca6/productimages/singlepackshot/163886C00_RGB.png"/>
    <hyperlink ref="D426" r:id="rId425" display="https://us.pandora.net/on/demandware.static/-/Sites-pandora-master-catalog/default/dwbb259ca6/productimages/singlepackshot/163886C00_RGB.png"/>
    <hyperlink ref="D427" r:id="rId426" display="https://us.pandora.net/on/demandware.static/-/Sites-pandora-master-catalog/default/dwbb259ca6/productimages/singlepackshot/163886C00_RGB.png"/>
    <hyperlink ref="D428" r:id="rId427" display="https://us.pandora.net/on/demandware.static/-/Sites-pandora-master-catalog/default/dwbb259ca6/productimages/singlepackshot/163886C00_RGB.png"/>
    <hyperlink ref="D429" r:id="rId428" display="https://us.pandora.net/on/demandware.static/-/Sites-pandora-master-catalog/default/dwbb259ca6/productimages/singlepackshot/163886C00_RGB.png"/>
    <hyperlink ref="D430" r:id="rId429" display="https://us.pandora.net/on/demandware.static/-/Sites-pandora-master-catalog/default/dwbb259ca6/productimages/singlepackshot/163886C00_RGB.png"/>
    <hyperlink ref="D431" r:id="rId430" display="https://us.pandora.net/on/demandware.static/-/Sites-pandora-master-catalog/default/dwbb259ca6/productimages/singlepackshot/163886C00_RGB.png"/>
    <hyperlink ref="D432" r:id="rId431" display="https://us.pandora.net/on/demandware.static/-/Sites-pandora-master-catalog/default/dwbb259ca6/productimages/singlepackshot/163888C00_RGB.png"/>
    <hyperlink ref="D433" r:id="rId432" display="https://us.pandora.net/on/demandware.static/-/Sites-pandora-master-catalog/default/dwbb259ca6/productimages/singlepackshot/163888C00_RGB.png"/>
    <hyperlink ref="D434" r:id="rId433" display="https://us.pandora.net/on/demandware.static/-/Sites-pandora-master-catalog/default/dwbb259ca6/productimages/singlepackshot/163888C00_RGB.png"/>
    <hyperlink ref="D435" r:id="rId434" display="https://us.pandora.net/on/demandware.static/-/Sites-pandora-master-catalog/default/dwbb259ca6/productimages/singlepackshot/163888C00_RGB.png"/>
    <hyperlink ref="D436" r:id="rId435" display="https://us.pandora.net/on/demandware.static/-/Sites-pandora-master-catalog/default/dwbb259ca6/productimages/singlepackshot/163888C00_RGB.png"/>
    <hyperlink ref="D437" r:id="rId436" display="https://us.pandora.net/on/demandware.static/-/Sites-pandora-master-catalog/default/dwbb259ca6/productimages/singlepackshot/163888C00_RGB.png"/>
    <hyperlink ref="D438" r:id="rId437" display="https://us.pandora.net/on/demandware.static/-/Sites-pandora-master-catalog/default/dwbb259ca6/productimages/singlepackshot/163888C00_RGB.png"/>
    <hyperlink ref="D439" r:id="rId438" display="https://us.pandora.net/on/demandware.static/-/Sites-pandora-master-catalog/default/dwbb259ca6/productimages/singlepackshot/163889C00_RGB.png"/>
    <hyperlink ref="D440" r:id="rId439" display="https://us.pandora.net/on/demandware.static/-/Sites-pandora-master-catalog/default/dwbb259ca6/productimages/singlepackshot/163889C00_RGB.png"/>
    <hyperlink ref="D441" r:id="rId440" display="https://us.pandora.net/on/demandware.static/-/Sites-pandora-master-catalog/default/dwbb259ca6/productimages/singlepackshot/163889C00_RGB.png"/>
    <hyperlink ref="D442" r:id="rId441" display="https://us.pandora.net/on/demandware.static/-/Sites-pandora-master-catalog/default/dwbb259ca6/productimages/singlepackshot/163889C00_RGB.png"/>
    <hyperlink ref="D443" r:id="rId442" display="https://us.pandora.net/on/demandware.static/-/Sites-pandora-master-catalog/default/dwbb259ca6/productimages/singlepackshot/163889C00_RGB.png"/>
    <hyperlink ref="D444" r:id="rId443" display="https://us.pandora.net/on/demandware.static/-/Sites-pandora-master-catalog/default/dwbb259ca6/productimages/singlepackshot/163889C00_RGB.png"/>
    <hyperlink ref="D445" r:id="rId444" display="https://us.pandora.net/on/demandware.static/-/Sites-pandora-master-catalog/default/dwbb259ca6/productimages/singlepackshot/163889C00_RGB.png"/>
    <hyperlink ref="D446" r:id="rId445" display="https://us.pandora.net/on/demandware.static/-/Sites-pandora-master-catalog/default/dwbb259ca6/productimages/singlepackshot/163984C01_RGB.png"/>
    <hyperlink ref="D447" r:id="rId446" display="https://us.pandora.net/on/demandware.static/-/Sites-pandora-master-catalog/default/dwbb259ca6/productimages/singlepackshot/163984C01_RGB.png"/>
    <hyperlink ref="D448" r:id="rId447" display="https://us.pandora.net/on/demandware.static/-/Sites-pandora-master-catalog/default/dwbb259ca6/productimages/singlepackshot/163984C01_RGB.png"/>
    <hyperlink ref="D449" r:id="rId448" display="https://us.pandora.net/on/demandware.static/-/Sites-pandora-master-catalog/default/dwbb259ca6/productimages/singlepackshot/163984C01_RGB.png"/>
    <hyperlink ref="D450" r:id="rId449" display="https://us.pandora.net/on/demandware.static/-/Sites-pandora-master-catalog/default/dwbb259ca6/productimages/singlepackshot/163984C01_RGB.png"/>
    <hyperlink ref="D451" r:id="rId450" display="https://us.pandora.net/on/demandware.static/-/Sites-pandora-master-catalog/default/dwbb259ca6/productimages/singlepackshot/163984C01_RGB.png"/>
    <hyperlink ref="D452" r:id="rId451" display="https://us.pandora.net/on/demandware.static/-/Sites-pandora-master-catalog/default/dwbb259ca6/productimages/singlepackshot/163984C01_RGB.png"/>
    <hyperlink ref="D453" r:id="rId452" display="https://us.pandora.net/on/demandware.static/-/Sites-pandora-master-catalog/default/dwbb259ca6/productimages/singlepackshot/163986C00_RGB.png"/>
    <hyperlink ref="D454" r:id="rId453" display="https://us.pandora.net/on/demandware.static/-/Sites-pandora-master-catalog/default/dwbb259ca6/productimages/singlepackshot/163986C00_RGB.png"/>
    <hyperlink ref="D455" r:id="rId454" display="https://us.pandora.net/on/demandware.static/-/Sites-pandora-master-catalog/default/dwbb259ca6/productimages/singlepackshot/163986C00_RGB.png"/>
    <hyperlink ref="D456" r:id="rId455" display="https://us.pandora.net/on/demandware.static/-/Sites-pandora-master-catalog/default/dwbb259ca6/productimages/singlepackshot/163986C00_RGB.png"/>
    <hyperlink ref="D457" r:id="rId456" display="https://us.pandora.net/on/demandware.static/-/Sites-pandora-master-catalog/default/dwbb259ca6/productimages/singlepackshot/163986C00_RGB.png"/>
    <hyperlink ref="D458" r:id="rId457" display="https://us.pandora.net/on/demandware.static/-/Sites-pandora-master-catalog/default/dwbb259ca6/productimages/singlepackshot/163986C00_RGB.png"/>
    <hyperlink ref="D459" r:id="rId458" display="https://us.pandora.net/on/demandware.static/-/Sites-pandora-master-catalog/default/dwbb259ca6/productimages/singlepackshot/163986C00_RGB.png"/>
    <hyperlink ref="D460" r:id="rId459" display="https://us.pandora.net/on/demandware.static/-/Sites-pandora-master-catalog/default/dwbb259ca6/productimages/singlepackshot/163988C00_RGB.png"/>
    <hyperlink ref="D461" r:id="rId460" display="https://us.pandora.net/on/demandware.static/-/Sites-pandora-master-catalog/default/dwbb259ca6/productimages/singlepackshot/163988C00_RGB.png"/>
    <hyperlink ref="D462" r:id="rId461" display="https://us.pandora.net/on/demandware.static/-/Sites-pandora-master-catalog/default/dwbb259ca6/productimages/singlepackshot/163988C00_RGB.png"/>
    <hyperlink ref="D463" r:id="rId462" display="https://us.pandora.net/on/demandware.static/-/Sites-pandora-master-catalog/default/dwbb259ca6/productimages/singlepackshot/163988C00_RGB.png"/>
    <hyperlink ref="D464" r:id="rId463" display="https://us.pandora.net/on/demandware.static/-/Sites-pandora-master-catalog/default/dwbb259ca6/productimages/singlepackshot/163988C00_RGB.png"/>
    <hyperlink ref="D465" r:id="rId464" display="https://us.pandora.net/on/demandware.static/-/Sites-pandora-master-catalog/default/dwbb259ca6/productimages/singlepackshot/163988C00_RGB.png"/>
    <hyperlink ref="D466" r:id="rId465" display="https://us.pandora.net/on/demandware.static/-/Sites-pandora-master-catalog/default/dwbb259ca6/productimages/singlepackshot/163988C00_RGB.png"/>
    <hyperlink ref="D467" r:id="rId466" display="https://us.pandora.net/on/demandware.static/-/Sites-pandora-master-catalog/default/dwbb259ca6/productimages/singlepackshot/164135C01_RGB.png"/>
    <hyperlink ref="D468" r:id="rId467" display="https://us.pandora.net/on/demandware.static/-/Sites-pandora-master-catalog/default/dwbb259ca6/productimages/singlepackshot/164135C01_RGB.png"/>
    <hyperlink ref="D469" r:id="rId468" display="https://us.pandora.net/on/demandware.static/-/Sites-pandora-master-catalog/default/dwbb259ca6/productimages/singlepackshot/164135C01_RGB.png"/>
    <hyperlink ref="D470" r:id="rId469" display="https://us.pandora.net/on/demandware.static/-/Sites-pandora-master-catalog/default/dwbb259ca6/productimages/singlepackshot/164135C01_RGB.png"/>
    <hyperlink ref="D471" r:id="rId470" display="https://us.pandora.net/on/demandware.static/-/Sites-pandora-master-catalog/default/dwbb259ca6/productimages/singlepackshot/164135C01_RGB.png"/>
    <hyperlink ref="D472" r:id="rId471" display="https://us.pandora.net/on/demandware.static/-/Sites-pandora-master-catalog/default/dwbb259ca6/productimages/singlepackshot/164135C01_RGB.png"/>
    <hyperlink ref="D473" r:id="rId472" display="https://us.pandora.net/on/demandware.static/-/Sites-pandora-master-catalog/default/dwbb259ca6/productimages/singlepackshot/164135C01_RGB.png"/>
    <hyperlink ref="D474" r:id="rId473" display="https://us.pandora.net/on/demandware.static/-/Sites-pandora-master-catalog/default/dwbb259ca6/productimages/singlepackshot/164211C01_RGB.png"/>
    <hyperlink ref="D475" r:id="rId474" display="https://us.pandora.net/on/demandware.static/-/Sites-pandora-master-catalog/default/dwbb259ca6/productimages/singlepackshot/164211C01_RGB.png"/>
    <hyperlink ref="D476" r:id="rId475" display="https://us.pandora.net/on/demandware.static/-/Sites-pandora-master-catalog/default/dwbb259ca6/productimages/singlepackshot/164211C01_RGB.png"/>
    <hyperlink ref="D477" r:id="rId476" display="https://us.pandora.net/on/demandware.static/-/Sites-pandora-master-catalog/default/dwbb259ca6/productimages/singlepackshot/164211C01_RGB.png"/>
    <hyperlink ref="D478" r:id="rId477" display="https://us.pandora.net/on/demandware.static/-/Sites-pandora-master-catalog/default/dwbb259ca6/productimages/singlepackshot/164211C01_RGB.png"/>
    <hyperlink ref="D479" r:id="rId478" display="https://us.pandora.net/on/demandware.static/-/Sites-pandora-master-catalog/default/dwbb259ca6/productimages/singlepackshot/164211C01_RGB.png"/>
    <hyperlink ref="D480" r:id="rId479" display="https://us.pandora.net/on/demandware.static/-/Sites-pandora-master-catalog/default/dwbb259ca6/productimages/singlepackshot/164211C01_RGB.png"/>
    <hyperlink ref="D481" r:id="rId480" display="https://us.pandora.net/on/demandware.static/-/Sites-pandora-master-catalog/default/dwbb259ca6/productimages/singlepackshot/164222C00_RGB.png"/>
    <hyperlink ref="D482" r:id="rId481" display="https://us.pandora.net/on/demandware.static/-/Sites-pandora-master-catalog/default/dwbb259ca6/productimages/singlepackshot/164222C00_RGB.png"/>
    <hyperlink ref="D483" r:id="rId482" display="https://us.pandora.net/on/demandware.static/-/Sites-pandora-master-catalog/default/dwbb259ca6/productimages/singlepackshot/164222C00_RGB.png"/>
    <hyperlink ref="D484" r:id="rId483" display="https://us.pandora.net/on/demandware.static/-/Sites-pandora-master-catalog/default/dwbb259ca6/productimages/singlepackshot/164222C00_RGB.png"/>
    <hyperlink ref="D485" r:id="rId484" display="https://us.pandora.net/on/demandware.static/-/Sites-pandora-master-catalog/default/dwbb259ca6/productimages/singlepackshot/164222C00_RGB.png"/>
    <hyperlink ref="D486" r:id="rId485" display="https://us.pandora.net/on/demandware.static/-/Sites-pandora-master-catalog/default/dwbb259ca6/productimages/singlepackshot/164222C00_RGB.png"/>
    <hyperlink ref="D487" r:id="rId486" display="https://us.pandora.net/on/demandware.static/-/Sites-pandora-master-catalog/default/dwbb259ca6/productimages/singlepackshot/164222C00_RGB.png"/>
    <hyperlink ref="D488" r:id="rId487" display="https://us.pandora.net/on/demandware.static/-/Sites-pandora-master-catalog/default/dwbb259ca6/productimages/singlepackshot/164270C01_RGB.png"/>
    <hyperlink ref="D489" r:id="rId488" display="https://us.pandora.net/on/demandware.static/-/Sites-pandora-master-catalog/default/dwbb259ca6/productimages/singlepackshot/164270C01_RGB.png"/>
    <hyperlink ref="D490" r:id="rId489" display="https://us.pandora.net/on/demandware.static/-/Sites-pandora-master-catalog/default/dwbb259ca6/productimages/singlepackshot/164270C01_RGB.png"/>
    <hyperlink ref="D491" r:id="rId490" display="https://us.pandora.net/on/demandware.static/-/Sites-pandora-master-catalog/default/dwbb259ca6/productimages/singlepackshot/164270C01_RGB.png"/>
    <hyperlink ref="D492" r:id="rId491" display="https://us.pandora.net/on/demandware.static/-/Sites-pandora-master-catalog/default/dwbb259ca6/productimages/singlepackshot/164270C01_RGB.png"/>
    <hyperlink ref="D493" r:id="rId492" display="https://us.pandora.net/on/demandware.static/-/Sites-pandora-master-catalog/default/dwbb259ca6/productimages/singlepackshot/164270C01_RGB.png"/>
    <hyperlink ref="D494" r:id="rId493" display="https://us.pandora.net/on/demandware.static/-/Sites-pandora-master-catalog/default/dwbb259ca6/productimages/singlepackshot/164270C01_RGB.png"/>
    <hyperlink ref="D495" r:id="rId494" display="https://us.pandora.net/on/demandware.static/-/Sites-pandora-master-catalog/default/dwbb259ca6/productimages/singlepackshot/166574C01_RGB.png"/>
    <hyperlink ref="D496" r:id="rId495" display="https://us.pandora.net/on/demandware.static/-/Sites-pandora-master-catalog/default/dwbb259ca6/productimages/singlepackshot/166574C01_RGB.png"/>
    <hyperlink ref="D497" r:id="rId496" display="https://us.pandora.net/on/demandware.static/-/Sites-pandora-master-catalog/default/dwbb259ca6/productimages/singlepackshot/166574C01_RGB.png"/>
    <hyperlink ref="D498" r:id="rId497" display="https://us.pandora.net/on/demandware.static/-/Sites-pandora-master-catalog/default/dwbb259ca6/productimages/singlepackshot/166574C01_RGB.png"/>
    <hyperlink ref="D499" r:id="rId498" display="https://us.pandora.net/on/demandware.static/-/Sites-pandora-master-catalog/default/dwbb259ca6/productimages/singlepackshot/166574C01_RGB.png"/>
    <hyperlink ref="D500" r:id="rId499" display="https://us.pandora.net/on/demandware.static/-/Sites-pandora-master-catalog/default/dwbb259ca6/productimages/singlepackshot/166574C01_RGB.png"/>
    <hyperlink ref="D501" r:id="rId500" display="https://us.pandora.net/on/demandware.static/-/Sites-pandora-master-catalog/default/dwbb259ca6/productimages/singlepackshot/166574C01_RGB.png"/>
    <hyperlink ref="D502" r:id="rId501" display="https://us.pandora.net/on/demandware.static/-/Sites-pandora-master-catalog/default/dwbb259ca6/productimages/singlepackshot/167736C01_RGB.png"/>
    <hyperlink ref="D503" r:id="rId502" display="https://us.pandora.net/on/demandware.static/-/Sites-pandora-master-catalog/default/dwbb259ca6/productimages/singlepackshot/167736C01_RGB.png"/>
    <hyperlink ref="D504" r:id="rId503" display="https://us.pandora.net/on/demandware.static/-/Sites-pandora-master-catalog/default/dwbb259ca6/productimages/singlepackshot/167736C01_RGB.png"/>
    <hyperlink ref="D505" r:id="rId504" display="https://us.pandora.net/on/demandware.static/-/Sites-pandora-master-catalog/default/dwbb259ca6/productimages/singlepackshot/167736C01_RGB.png"/>
    <hyperlink ref="D506" r:id="rId505" display="https://us.pandora.net/on/demandware.static/-/Sites-pandora-master-catalog/default/dwbb259ca6/productimages/singlepackshot/167736C01_RGB.png"/>
    <hyperlink ref="D507" r:id="rId506" display="https://us.pandora.net/on/demandware.static/-/Sites-pandora-master-catalog/default/dwbb259ca6/productimages/singlepackshot/167736C01_RGB.png"/>
    <hyperlink ref="D508" r:id="rId507" display="https://us.pandora.net/on/demandware.static/-/Sites-pandora-master-catalog/default/dwbb259ca6/productimages/singlepackshot/167736C01_RGB.png"/>
    <hyperlink ref="D509" r:id="rId508" display="https://us.pandora.net/on/demandware.static/-/Sites-pandora-master-catalog/default/dwbb259ca6/productimages/singlepackshot/167736C01_RGB.png"/>
    <hyperlink ref="D510" r:id="rId509" display="https://us.pandora.net/on/demandware.static/-/Sites-pandora-master-catalog/default/dwbb259ca6/productimages/singlepackshot/168289C01_RGB.png"/>
    <hyperlink ref="D511" r:id="rId510" display="https://us.pandora.net/on/demandware.static/-/Sites-pandora-master-catalog/default/dwbb259ca6/productimages/singlepackshot/168289C01_RGB.png"/>
    <hyperlink ref="D512" r:id="rId511" display="https://us.pandora.net/on/demandware.static/-/Sites-pandora-master-catalog/default/dwbb259ca6/productimages/singlepackshot/168289C01_RGB.png"/>
    <hyperlink ref="D513" r:id="rId512" display="https://us.pandora.net/on/demandware.static/-/Sites-pandora-master-catalog/default/dwbb259ca6/productimages/singlepackshot/168289C01_RGB.png"/>
    <hyperlink ref="D514" r:id="rId513" display="https://us.pandora.net/on/demandware.static/-/Sites-pandora-master-catalog/default/dwbb259ca6/productimages/singlepackshot/168289C01_RGB.png"/>
    <hyperlink ref="D515" r:id="rId514" display="https://us.pandora.net/on/demandware.static/-/Sites-pandora-master-catalog/default/dwbb259ca6/productimages/singlepackshot/168289C01_RGB.png"/>
    <hyperlink ref="D516" r:id="rId515" display="https://us.pandora.net/on/demandware.static/-/Sites-pandora-master-catalog/default/dwbb259ca6/productimages/singlepackshot/168289C01_RGB.png"/>
    <hyperlink ref="D517" r:id="rId516" display="https://us.pandora.net/on/demandware.static/-/Sites-pandora-master-catalog/default/dwbb259ca6/productimages/singlepackshot/168289C02_RGB.png"/>
    <hyperlink ref="D518" r:id="rId517" display="https://us.pandora.net/on/demandware.static/-/Sites-pandora-master-catalog/default/dwbb259ca6/productimages/singlepackshot/168289C02_RGB.png"/>
    <hyperlink ref="D519" r:id="rId518" display="https://us.pandora.net/on/demandware.static/-/Sites-pandora-master-catalog/default/dwbb259ca6/productimages/singlepackshot/168289C02_RGB.png"/>
    <hyperlink ref="D520" r:id="rId519" display="https://us.pandora.net/on/demandware.static/-/Sites-pandora-master-catalog/default/dwbb259ca6/productimages/singlepackshot/168289C02_RGB.png"/>
    <hyperlink ref="D521" r:id="rId520" display="https://us.pandora.net/on/demandware.static/-/Sites-pandora-master-catalog/default/dwbb259ca6/productimages/singlepackshot/168289C02_RGB.png"/>
    <hyperlink ref="D522" r:id="rId521" display="https://us.pandora.net/on/demandware.static/-/Sites-pandora-master-catalog/default/dwbb259ca6/productimages/singlepackshot/168289C02_RGB.png"/>
    <hyperlink ref="D523" r:id="rId522" display="https://us.pandora.net/on/demandware.static/-/Sites-pandora-master-catalog/default/dwbb259ca6/productimages/singlepackshot/168289C02_RGB.png"/>
    <hyperlink ref="D524" r:id="rId523" display="https://us.pandora.net/on/demandware.static/-/Sites-pandora-master-catalog/default/dwbb259ca6/productimages/singlepackshot/168421C01_RGB.png"/>
    <hyperlink ref="D525" r:id="rId524" display="https://us.pandora.net/on/demandware.static/-/Sites-pandora-master-catalog/default/dwbb259ca6/productimages/singlepackshot/168421C01_RGB.png"/>
    <hyperlink ref="D526" r:id="rId525" display="https://us.pandora.net/on/demandware.static/-/Sites-pandora-master-catalog/default/dwbb259ca6/productimages/singlepackshot/168421C01_RGB.png"/>
    <hyperlink ref="D527" r:id="rId526" display="https://us.pandora.net/on/demandware.static/-/Sites-pandora-master-catalog/default/dwbb259ca6/productimages/singlepackshot/168421C01_RGB.png"/>
    <hyperlink ref="D528" r:id="rId527" display="https://us.pandora.net/on/demandware.static/-/Sites-pandora-master-catalog/default/dwbb259ca6/productimages/singlepackshot/168421C01_RGB.png"/>
    <hyperlink ref="D529" r:id="rId528" display="https://us.pandora.net/on/demandware.static/-/Sites-pandora-master-catalog/default/dwbb259ca6/productimages/singlepackshot/168421C01_RGB.png"/>
    <hyperlink ref="D530" r:id="rId529" display="https://us.pandora.net/on/demandware.static/-/Sites-pandora-master-catalog/default/dwbb259ca6/productimages/singlepackshot/168421C01_RGB.png"/>
    <hyperlink ref="D531" r:id="rId530" display="https://us.pandora.net/on/demandware.static/-/Sites-pandora-master-catalog/default/dwbb259ca6/productimages/singlepackshot/168421C01_RGB.png"/>
    <hyperlink ref="D532" r:id="rId531" display="https://us.pandora.net/on/demandware.static/-/Sites-pandora-master-catalog/default/dwbb259ca6/productimages/singlepackshot/168421C01_RGB.png"/>
    <hyperlink ref="D533" r:id="rId532" display="https://us.pandora.net/on/demandware.static/-/Sites-pandora-master-catalog/default/dwbb259ca6/productimages/singlepackshot/168421C01_RGB.png"/>
    <hyperlink ref="D534" r:id="rId533" display="https://us.pandora.net/on/demandware.static/-/Sites-pandora-master-catalog/default/dwbb259ca6/productimages/singlepackshot/168421C01_RGB.png"/>
    <hyperlink ref="D535" r:id="rId534" display="https://us.pandora.net/on/demandware.static/-/Sites-pandora-master-catalog/default/dwbb259ca6/productimages/singlepackshot/168421C02_RGB.png"/>
    <hyperlink ref="D536" r:id="rId535" display="https://us.pandora.net/on/demandware.static/-/Sites-pandora-master-catalog/default/dwbb259ca6/productimages/singlepackshot/168421C02_RGB.png"/>
    <hyperlink ref="D537" r:id="rId536" display="https://us.pandora.net/on/demandware.static/-/Sites-pandora-master-catalog/default/dwbb259ca6/productimages/singlepackshot/168421C02_RGB.png"/>
    <hyperlink ref="D538" r:id="rId537" display="https://us.pandora.net/on/demandware.static/-/Sites-pandora-master-catalog/default/dwbb259ca6/productimages/singlepackshot/168421C02_RGB.png"/>
    <hyperlink ref="D539" r:id="rId538" display="https://us.pandora.net/on/demandware.static/-/Sites-pandora-master-catalog/default/dwbb259ca6/productimages/singlepackshot/168421C02_RGB.png"/>
    <hyperlink ref="D540" r:id="rId539" display="https://us.pandora.net/on/demandware.static/-/Sites-pandora-master-catalog/default/dwbb259ca6/productimages/singlepackshot/168421C02_RGB.png"/>
    <hyperlink ref="D541" r:id="rId540" display="https://us.pandora.net/on/demandware.static/-/Sites-pandora-master-catalog/default/dwbb259ca6/productimages/singlepackshot/168421C02_RGB.png"/>
    <hyperlink ref="D542" r:id="rId541" display="https://us.pandora.net/on/demandware.static/-/Sites-pandora-master-catalog/default/dwbb259ca6/productimages/singlepackshot/168655C01_RGB.png"/>
    <hyperlink ref="D543" r:id="rId542" display="https://us.pandora.net/on/demandware.static/-/Sites-pandora-master-catalog/default/dwbb259ca6/productimages/singlepackshot/168655C01_RGB.png"/>
    <hyperlink ref="D544" r:id="rId543" display="https://us.pandora.net/on/demandware.static/-/Sites-pandora-master-catalog/default/dwbb259ca6/productimages/singlepackshot/168655C01_RGB.png"/>
    <hyperlink ref="D545" r:id="rId544" display="https://us.pandora.net/on/demandware.static/-/Sites-pandora-master-catalog/default/dwbb259ca6/productimages/singlepackshot/168655C01_RGB.png"/>
    <hyperlink ref="D546" r:id="rId545" display="https://us.pandora.net/on/demandware.static/-/Sites-pandora-master-catalog/default/dwbb259ca6/productimages/singlepackshot/168655C01_RGB.png"/>
    <hyperlink ref="D547" r:id="rId546" display="https://us.pandora.net/on/demandware.static/-/Sites-pandora-master-catalog/default/dwbb259ca6/productimages/singlepackshot/168655C01_RGB.png"/>
    <hyperlink ref="D548" r:id="rId547" display="https://us.pandora.net/on/demandware.static/-/Sites-pandora-master-catalog/default/dwbb259ca6/productimages/singlepackshot/168655C01_RGB.png"/>
    <hyperlink ref="D549" r:id="rId548" display="https://us.pandora.net/on/demandware.static/-/Sites-pandora-master-catalog/default/dwbb259ca6/productimages/singlepackshot/168655C01_RGB.png"/>
    <hyperlink ref="D550" r:id="rId549" display="https://us.pandora.net/on/demandware.static/-/Sites-pandora-master-catalog/default/dwbb259ca6/productimages/singlepackshot/168742C00_RGB.png"/>
    <hyperlink ref="D551" r:id="rId550" display="https://us.pandora.net/on/demandware.static/-/Sites-pandora-master-catalog/default/dwbb259ca6/productimages/singlepackshot/168742C00_RGB.png"/>
    <hyperlink ref="D552" r:id="rId551" display="https://us.pandora.net/on/demandware.static/-/Sites-pandora-master-catalog/default/dwbb259ca6/productimages/singlepackshot/168742C00_RGB.png"/>
    <hyperlink ref="D553" r:id="rId552" display="https://us.pandora.net/on/demandware.static/-/Sites-pandora-master-catalog/default/dwbb259ca6/productimages/singlepackshot/168742C00_RGB.png"/>
    <hyperlink ref="D554" r:id="rId553" display="https://us.pandora.net/on/demandware.static/-/Sites-pandora-master-catalog/default/dwbb259ca6/productimages/singlepackshot/168742C00_RGB.png"/>
    <hyperlink ref="D555" r:id="rId554" display="https://us.pandora.net/on/demandware.static/-/Sites-pandora-master-catalog/default/dwbb259ca6/productimages/singlepackshot/168742C00_RGB.png"/>
    <hyperlink ref="D556" r:id="rId555" display="https://us.pandora.net/on/demandware.static/-/Sites-pandora-master-catalog/default/dwbb259ca6/productimages/singlepackshot/168742C00_RGB.png"/>
    <hyperlink ref="D557" r:id="rId556" display="https://us.pandora.net/on/demandware.static/-/Sites-pandora-master-catalog/default/dwbb259ca6/productimages/singlepackshot/168742C00_RGB.png"/>
    <hyperlink ref="D558" r:id="rId557" display="https://us.pandora.net/on/demandware.static/-/Sites-pandora-master-catalog/default/dwbb259ca6/productimages/singlepackshot/168758C01_RGB.png"/>
    <hyperlink ref="D559" r:id="rId558" display="https://us.pandora.net/on/demandware.static/-/Sites-pandora-master-catalog/default/dwbb259ca6/productimages/singlepackshot/168758C01_RGB.png"/>
    <hyperlink ref="D560" r:id="rId559" display="https://us.pandora.net/on/demandware.static/-/Sites-pandora-master-catalog/default/dwbb259ca6/productimages/singlepackshot/168758C01_RGB.png"/>
    <hyperlink ref="D561" r:id="rId560" display="https://us.pandora.net/on/demandware.static/-/Sites-pandora-master-catalog/default/dwbb259ca6/productimages/singlepackshot/168758C01_RGB.png"/>
    <hyperlink ref="D562" r:id="rId561" display="https://us.pandora.net/on/demandware.static/-/Sites-pandora-master-catalog/default/dwbb259ca6/productimages/singlepackshot/168758C01_RGB.png"/>
    <hyperlink ref="D563" r:id="rId562" display="https://us.pandora.net/on/demandware.static/-/Sites-pandora-master-catalog/default/dwbb259ca6/productimages/singlepackshot/168758C01_RGB.png"/>
    <hyperlink ref="D564" r:id="rId563" display="https://us.pandora.net/on/demandware.static/-/Sites-pandora-master-catalog/default/dwbb259ca6/productimages/singlepackshot/168758C01_RGB.png"/>
    <hyperlink ref="D565" r:id="rId564" display="https://us.pandora.net/on/demandware.static/-/Sites-pandora-master-catalog/default/dwbb259ca6/productimages/singlepackshot/168758C01_RGB.png"/>
    <hyperlink ref="D566" r:id="rId565" display="https://us.pandora.net/on/demandware.static/-/Sites-pandora-master-catalog/default/dwbb259ca6/productimages/singlepackshot/168898C00_RGB.png"/>
    <hyperlink ref="D567" r:id="rId566" display="https://us.pandora.net/on/demandware.static/-/Sites-pandora-master-catalog/default/dwbb259ca6/productimages/singlepackshot/168898C00_RGB.png"/>
    <hyperlink ref="D568" r:id="rId567" display="https://us.pandora.net/on/demandware.static/-/Sites-pandora-master-catalog/default/dwbb259ca6/productimages/singlepackshot/168898C00_RGB.png"/>
    <hyperlink ref="D569" r:id="rId568" display="https://us.pandora.net/on/demandware.static/-/Sites-pandora-master-catalog/default/dwbb259ca6/productimages/singlepackshot/168898C00_RGB.png"/>
    <hyperlink ref="D570" r:id="rId569" display="https://us.pandora.net/on/demandware.static/-/Sites-pandora-master-catalog/default/dwbb259ca6/productimages/singlepackshot/168898C00_RGB.png"/>
    <hyperlink ref="D571" r:id="rId570" display="https://us.pandora.net/on/demandware.static/-/Sites-pandora-master-catalog/default/dwbb259ca6/productimages/singlepackshot/168898C00_RGB.png"/>
    <hyperlink ref="D572" r:id="rId571" display="https://us.pandora.net/on/demandware.static/-/Sites-pandora-master-catalog/default/dwbb259ca6/productimages/singlepackshot/168898C00_RGB.png"/>
    <hyperlink ref="D573" r:id="rId572" display="https://us.pandora.net/on/demandware.static/-/Sites-pandora-master-catalog/default/dwbb259ca6/productimages/singlepackshot/169057C01_RGB.png"/>
    <hyperlink ref="D574" r:id="rId573" display="https://us.pandora.net/on/demandware.static/-/Sites-pandora-master-catalog/default/dwbb259ca6/productimages/singlepackshot/169057C01_RGB.png"/>
    <hyperlink ref="D575" r:id="rId574" display="https://us.pandora.net/on/demandware.static/-/Sites-pandora-master-catalog/default/dwbb259ca6/productimages/singlepackshot/169057C01_RGB.png"/>
    <hyperlink ref="D576" r:id="rId575" display="https://us.pandora.net/on/demandware.static/-/Sites-pandora-master-catalog/default/dwbb259ca6/productimages/singlepackshot/169057C01_RGB.png"/>
    <hyperlink ref="D577" r:id="rId576" display="https://us.pandora.net/on/demandware.static/-/Sites-pandora-master-catalog/default/dwbb259ca6/productimages/singlepackshot/169057C01_RGB.png"/>
    <hyperlink ref="D578" r:id="rId577" display="https://us.pandora.net/on/demandware.static/-/Sites-pandora-master-catalog/default/dwbb259ca6/productimages/singlepackshot/169057C01_RGB.png"/>
    <hyperlink ref="D579" r:id="rId578" display="https://us.pandora.net/on/demandware.static/-/Sites-pandora-master-catalog/default/dwbb259ca6/productimages/singlepackshot/169057C01_RGB.png"/>
    <hyperlink ref="D580" r:id="rId579" display="https://us.pandora.net/on/demandware.static/-/Sites-pandora-master-catalog/default/dwbb259ca6/productimages/singlepackshot/169302C01_RGB.png"/>
    <hyperlink ref="D581" r:id="rId580" display="https://us.pandora.net/on/demandware.static/-/Sites-pandora-master-catalog/default/dwbb259ca6/productimages/singlepackshot/169302C01_RGB.png"/>
    <hyperlink ref="D582" r:id="rId581" display="https://us.pandora.net/on/demandware.static/-/Sites-pandora-master-catalog/default/dwbb259ca6/productimages/singlepackshot/169302C01_RGB.png"/>
    <hyperlink ref="D583" r:id="rId582" display="https://us.pandora.net/on/demandware.static/-/Sites-pandora-master-catalog/default/dwbb259ca6/productimages/singlepackshot/169302C01_RGB.png"/>
    <hyperlink ref="D584" r:id="rId583" display="https://us.pandora.net/on/demandware.static/-/Sites-pandora-master-catalog/default/dwbb259ca6/productimages/singlepackshot/169302C01_RGB.png"/>
    <hyperlink ref="D585" r:id="rId584" display="https://us.pandora.net/on/demandware.static/-/Sites-pandora-master-catalog/default/dwbb259ca6/productimages/singlepackshot/169302C01_RGB.png"/>
    <hyperlink ref="D586" r:id="rId585" display="https://us.pandora.net/on/demandware.static/-/Sites-pandora-master-catalog/default/dwbb259ca6/productimages/singlepackshot/169302C01_RGB.png"/>
    <hyperlink ref="D587" r:id="rId586" display="https://us.pandora.net/on/demandware.static/-/Sites-pandora-master-catalog/default/dwbb259ca6/productimages/singlepackshot/169679C01_RGB.png"/>
    <hyperlink ref="D588" r:id="rId587" display="https://us.pandora.net/on/demandware.static/-/Sites-pandora-master-catalog/default/dwbb259ca6/productimages/singlepackshot/169679C01_RGB.png"/>
    <hyperlink ref="D589" r:id="rId588" display="https://us.pandora.net/on/demandware.static/-/Sites-pandora-master-catalog/default/dwbb259ca6/productimages/singlepackshot/169679C01_RGB.png"/>
    <hyperlink ref="D590" r:id="rId589" display="https://us.pandora.net/on/demandware.static/-/Sites-pandora-master-catalog/default/dwbb259ca6/productimages/singlepackshot/169679C01_RGB.png"/>
    <hyperlink ref="D591" r:id="rId590" display="https://us.pandora.net/on/demandware.static/-/Sites-pandora-master-catalog/default/dwbb259ca6/productimages/singlepackshot/169679C01_RGB.png"/>
    <hyperlink ref="D592" r:id="rId591" display="https://us.pandora.net/on/demandware.static/-/Sites-pandora-master-catalog/default/dwbb259ca6/productimages/singlepackshot/169679C01_RGB.png"/>
    <hyperlink ref="D593" r:id="rId592" display="https://us.pandora.net/on/demandware.static/-/Sites-pandora-master-catalog/default/dwbb259ca6/productimages/singlepackshot/169679C01_RGB.png"/>
    <hyperlink ref="D594" r:id="rId593" display="https://us.pandora.net/on/demandware.static/-/Sites-pandora-master-catalog/default/dwbb259ca6/productimages/singlepackshot/169679C01_RGB.png"/>
    <hyperlink ref="D595" r:id="rId594" display="https://us.pandora.net/on/demandware.static/-/Sites-pandora-master-catalog/default/dwbb259ca6/productimages/singlepackshot/180050C01_RGB.png"/>
    <hyperlink ref="D596" r:id="rId595" display="https://us.pandora.net/on/demandware.static/-/Sites-pandora-master-catalog/default/dwbb259ca6/productimages/singlepackshot/180050C01_RGB.png"/>
    <hyperlink ref="D597" r:id="rId596" display="https://us.pandora.net/on/demandware.static/-/Sites-pandora-master-catalog/default/dwbb259ca6/productimages/singlepackshot/180050C01_RGB.png"/>
    <hyperlink ref="D598" r:id="rId597" display="https://us.pandora.net/on/demandware.static/-/Sites-pandora-master-catalog/default/dwbb259ca6/productimages/singlepackshot/180050C01_RGB.png"/>
    <hyperlink ref="D599" r:id="rId598" display="https://us.pandora.net/on/demandware.static/-/Sites-pandora-master-catalog/default/dwbb259ca6/productimages/singlepackshot/180050C01_RGB.png"/>
    <hyperlink ref="D600" r:id="rId599" display="https://us.pandora.net/on/demandware.static/-/Sites-pandora-master-catalog/default/dwbb259ca6/productimages/singlepackshot/180050C01_RGB.png"/>
    <hyperlink ref="D601" r:id="rId600" display="https://us.pandora.net/on/demandware.static/-/Sites-pandora-master-catalog/default/dwbb259ca6/productimages/singlepackshot/180050C01_RGB.png"/>
    <hyperlink ref="D602" r:id="rId601" display="https://us.pandora.net/on/demandware.static/-/Sites-pandora-master-catalog/default/dwbb259ca6/productimages/singlepackshot/180050C02_RGB.png"/>
    <hyperlink ref="D603" r:id="rId602" display="https://us.pandora.net/on/demandware.static/-/Sites-pandora-master-catalog/default/dwbb259ca6/productimages/singlepackshot/180050C02_RGB.png"/>
    <hyperlink ref="D604" r:id="rId603" display="https://us.pandora.net/on/demandware.static/-/Sites-pandora-master-catalog/default/dwbb259ca6/productimages/singlepackshot/180050C02_RGB.png"/>
    <hyperlink ref="D605" r:id="rId604" display="https://us.pandora.net/on/demandware.static/-/Sites-pandora-master-catalog/default/dwbb259ca6/productimages/singlepackshot/180050C02_RGB.png"/>
    <hyperlink ref="D606" r:id="rId605" display="https://us.pandora.net/on/demandware.static/-/Sites-pandora-master-catalog/default/dwbb259ca6/productimages/singlepackshot/180050C02_RGB.png"/>
    <hyperlink ref="D607" r:id="rId606" display="https://us.pandora.net/on/demandware.static/-/Sites-pandora-master-catalog/default/dwbb259ca6/productimages/singlepackshot/180050C02_RGB.png"/>
    <hyperlink ref="D608" r:id="rId607" display="https://us.pandora.net/on/demandware.static/-/Sites-pandora-master-catalog/default/dwbb259ca6/productimages/singlepackshot/180050C02_RGB.png"/>
    <hyperlink ref="D609" r:id="rId608" display="https://us.pandora.net/on/demandware.static/-/Sites-pandora-master-catalog/default/dwbb259ca6/productimages/singlepackshot/180892CZ_RGB.png"/>
    <hyperlink ref="D610" r:id="rId609" display="https://us.pandora.net/on/demandware.static/-/Sites-pandora-master-catalog/default/dwbb259ca6/productimages/singlepackshot/180892CZ_RGB.png"/>
    <hyperlink ref="D611" r:id="rId610" display="https://us.pandora.net/on/demandware.static/-/Sites-pandora-master-catalog/default/dwbb259ca6/productimages/singlepackshot/180892CZ_RGB.png"/>
    <hyperlink ref="D612" r:id="rId611" display="https://us.pandora.net/on/demandware.static/-/Sites-pandora-master-catalog/default/dwbb259ca6/productimages/singlepackshot/180892CZ_RGB.png"/>
    <hyperlink ref="D613" r:id="rId612" display="https://us.pandora.net/on/demandware.static/-/Sites-pandora-master-catalog/default/dwbb259ca6/productimages/singlepackshot/180892CZ_RGB.png"/>
    <hyperlink ref="D614" r:id="rId613" display="https://us.pandora.net/on/demandware.static/-/Sites-pandora-master-catalog/default/dwbb259ca6/productimages/singlepackshot/180892CZ_RGB.png"/>
    <hyperlink ref="D615" r:id="rId614" display="https://us.pandora.net/on/demandware.static/-/Sites-pandora-master-catalog/default/dwbb259ca6/productimages/singlepackshot/180892CZ_RGB.png"/>
    <hyperlink ref="D616" r:id="rId615" display="https://us.pandora.net/on/demandware.static/-/Sites-pandora-master-catalog/default/dwbb259ca6/productimages/singlepackshot/180919CZ_RGB.png"/>
    <hyperlink ref="D617" r:id="rId616" display="https://us.pandora.net/on/demandware.static/-/Sites-pandora-master-catalog/default/dwbb259ca6/productimages/singlepackshot/180919CZ_RGB.png"/>
    <hyperlink ref="D618" r:id="rId617" display="https://us.pandora.net/on/demandware.static/-/Sites-pandora-master-catalog/default/dwbb259ca6/productimages/singlepackshot/180919CZ_RGB.png"/>
    <hyperlink ref="D619" r:id="rId618" display="https://us.pandora.net/on/demandware.static/-/Sites-pandora-master-catalog/default/dwbb259ca6/productimages/singlepackshot/180919CZ_RGB.png"/>
    <hyperlink ref="D620" r:id="rId619" display="https://us.pandora.net/on/demandware.static/-/Sites-pandora-master-catalog/default/dwbb259ca6/productimages/singlepackshot/180919CZ_RGB.png"/>
    <hyperlink ref="D621" r:id="rId620" display="https://us.pandora.net/on/demandware.static/-/Sites-pandora-master-catalog/default/dwbb259ca6/productimages/singlepackshot/180919CZ_RGB.png"/>
    <hyperlink ref="D622" r:id="rId621" display="https://us.pandora.net/on/demandware.static/-/Sites-pandora-master-catalog/default/dwbb259ca6/productimages/singlepackshot/180919CZ_RGB.png"/>
    <hyperlink ref="D623" r:id="rId622" display="https://us.pandora.net/on/demandware.static/-/Sites-pandora-master-catalog/default/dwbb259ca6/productimages/singlepackshot/180919CZ_RGB.png"/>
    <hyperlink ref="D624" r:id="rId623" display="https://us.pandora.net/on/demandware.static/-/Sites-pandora-master-catalog/default/dwbb259ca6/productimages/singlepackshot/180963CZ_RGB.png"/>
    <hyperlink ref="D625" r:id="rId624" display="https://us.pandora.net/on/demandware.static/-/Sites-pandora-master-catalog/default/dwbb259ca6/productimages/singlepackshot/180963CZ_RGB.png"/>
    <hyperlink ref="D626" r:id="rId625" display="https://us.pandora.net/on/demandware.static/-/Sites-pandora-master-catalog/default/dwbb259ca6/productimages/singlepackshot/180963CZ_RGB.png"/>
    <hyperlink ref="D627" r:id="rId626" display="https://us.pandora.net/on/demandware.static/-/Sites-pandora-master-catalog/default/dwbb259ca6/productimages/singlepackshot/180963CZ_RGB.png"/>
    <hyperlink ref="D628" r:id="rId627" display="https://us.pandora.net/on/demandware.static/-/Sites-pandora-master-catalog/default/dwbb259ca6/productimages/singlepackshot/180963CZ_RGB.png"/>
    <hyperlink ref="D629" r:id="rId628" display="https://us.pandora.net/on/demandware.static/-/Sites-pandora-master-catalog/default/dwbb259ca6/productimages/singlepackshot/180963CZ_RGB.png"/>
    <hyperlink ref="D630" r:id="rId629" display="https://us.pandora.net/on/demandware.static/-/Sites-pandora-master-catalog/default/dwbb259ca6/productimages/singlepackshot/180963CZ_RGB.png"/>
    <hyperlink ref="D631" r:id="rId630" display="https://us.pandora.net/on/demandware.static/-/Sites-pandora-master-catalog/default/dwbb259ca6/productimages/singlepackshot/182392C01_RGB.png"/>
    <hyperlink ref="D632" r:id="rId631" display="https://us.pandora.net/on/demandware.static/-/Sites-pandora-master-catalog/default/dwbb259ca6/productimages/singlepackshot/182392C01_RGB.png"/>
    <hyperlink ref="D633" r:id="rId632" display="https://us.pandora.net/on/demandware.static/-/Sites-pandora-master-catalog/default/dwbb259ca6/productimages/singlepackshot/182392C01_RGB.png"/>
    <hyperlink ref="D634" r:id="rId633" display="https://us.pandora.net/on/demandware.static/-/Sites-pandora-master-catalog/default/dwbb259ca6/productimages/singlepackshot/182392C01_RGB.png"/>
    <hyperlink ref="D635" r:id="rId634" display="https://us.pandora.net/on/demandware.static/-/Sites-pandora-master-catalog/default/dwbb259ca6/productimages/singlepackshot/182392C01_RGB.png"/>
    <hyperlink ref="D636" r:id="rId635" display="https://us.pandora.net/on/demandware.static/-/Sites-pandora-master-catalog/default/dwbb259ca6/productimages/singlepackshot/182392C01_RGB.png"/>
    <hyperlink ref="D637" r:id="rId636" display="https://us.pandora.net/on/demandware.static/-/Sites-pandora-master-catalog/default/dwbb259ca6/productimages/singlepackshot/182392C01_RGB.png"/>
    <hyperlink ref="D638" r:id="rId637" display="https://us.pandora.net/on/demandware.static/-/Sites-pandora-master-catalog/default/dwbb259ca6/productimages/singlepackshot/182495C01_RGB.png"/>
    <hyperlink ref="D639" r:id="rId638" display="https://us.pandora.net/on/demandware.static/-/Sites-pandora-master-catalog/default/dwbb259ca6/productimages/singlepackshot/182495C01_RGB.png"/>
    <hyperlink ref="D640" r:id="rId639" display="https://us.pandora.net/on/demandware.static/-/Sites-pandora-master-catalog/default/dwbb259ca6/productimages/singlepackshot/182495C01_RGB.png"/>
    <hyperlink ref="D641" r:id="rId640" display="https://us.pandora.net/on/demandware.static/-/Sites-pandora-master-catalog/default/dwbb259ca6/productimages/singlepackshot/182495C01_RGB.png"/>
    <hyperlink ref="D642" r:id="rId641" display="https://us.pandora.net/on/demandware.static/-/Sites-pandora-master-catalog/default/dwbb259ca6/productimages/singlepackshot/182495C01_RGB.png"/>
    <hyperlink ref="D643" r:id="rId642" display="https://us.pandora.net/on/demandware.static/-/Sites-pandora-master-catalog/default/dwbb259ca6/productimages/singlepackshot/182495C01_RGB.png"/>
    <hyperlink ref="D644" r:id="rId643" display="https://us.pandora.net/on/demandware.static/-/Sites-pandora-master-catalog/default/dwbb259ca6/productimages/singlepackshot/182495C01_RGB.png"/>
    <hyperlink ref="D645" r:id="rId644" display="https://us.pandora.net/on/demandware.static/-/Sites-pandora-master-catalog/default/dwbb259ca6/productimages/singlepackshot/182528C01_RGB.png"/>
    <hyperlink ref="D646" r:id="rId645" display="https://us.pandora.net/on/demandware.static/-/Sites-pandora-master-catalog/default/dwbb259ca6/productimages/singlepackshot/182528C01_RGB.png"/>
    <hyperlink ref="D647" r:id="rId646" display="https://us.pandora.net/on/demandware.static/-/Sites-pandora-master-catalog/default/dwbb259ca6/productimages/singlepackshot/182528C01_RGB.png"/>
    <hyperlink ref="D648" r:id="rId647" display="https://us.pandora.net/on/demandware.static/-/Sites-pandora-master-catalog/default/dwbb259ca6/productimages/singlepackshot/182528C01_RGB.png"/>
    <hyperlink ref="D649" r:id="rId648" display="https://us.pandora.net/on/demandware.static/-/Sites-pandora-master-catalog/default/dwbb259ca6/productimages/singlepackshot/182528C01_RGB.png"/>
    <hyperlink ref="D650" r:id="rId649" display="https://us.pandora.net/on/demandware.static/-/Sites-pandora-master-catalog/default/dwbb259ca6/productimages/singlepackshot/182528C01_RGB.png"/>
    <hyperlink ref="D651" r:id="rId650" display="https://us.pandora.net/on/demandware.static/-/Sites-pandora-master-catalog/default/dwbb259ca6/productimages/singlepackshot/182528C01_RGB.png"/>
    <hyperlink ref="D652" r:id="rId651" display="https://us.pandora.net/on/demandware.static/-/Sites-pandora-master-catalog/default/dwbb259ca6/productimages/singlepackshot/182528C01_RGB.png"/>
    <hyperlink ref="D653" r:id="rId652" display="https://us.pandora.net/on/demandware.static/-/Sites-pandora-master-catalog/default/dwbb259ca6/productimages/singlepackshot/182539C01_RGB.png"/>
    <hyperlink ref="D654" r:id="rId653" display="https://us.pandora.net/on/demandware.static/-/Sites-pandora-master-catalog/default/dwbb259ca6/productimages/singlepackshot/182539C01_RGB.png"/>
    <hyperlink ref="D655" r:id="rId654" display="https://us.pandora.net/on/demandware.static/-/Sites-pandora-master-catalog/default/dwbb259ca6/productimages/singlepackshot/182539C01_RGB.png"/>
    <hyperlink ref="D656" r:id="rId655" display="https://us.pandora.net/on/demandware.static/-/Sites-pandora-master-catalog/default/dwbb259ca6/productimages/singlepackshot/182539C01_RGB.png"/>
    <hyperlink ref="D657" r:id="rId656" display="https://us.pandora.net/on/demandware.static/-/Sites-pandora-master-catalog/default/dwbb259ca6/productimages/singlepackshot/182539C01_RGB.png"/>
    <hyperlink ref="D658" r:id="rId657" display="https://us.pandora.net/on/demandware.static/-/Sites-pandora-master-catalog/default/dwbb259ca6/productimages/singlepackshot/182539C01_RGB.png"/>
    <hyperlink ref="D659" r:id="rId658" display="https://us.pandora.net/on/demandware.static/-/Sites-pandora-master-catalog/default/dwbb259ca6/productimages/singlepackshot/182539C01_RGB.png"/>
    <hyperlink ref="D660" r:id="rId659" display="https://us.pandora.net/on/demandware.static/-/Sites-pandora-master-catalog/default/dwbb259ca6/productimages/singlepackshot/182629C01_RGB.png"/>
    <hyperlink ref="D661" r:id="rId660" display="https://us.pandora.net/on/demandware.static/-/Sites-pandora-master-catalog/default/dwbb259ca6/productimages/singlepackshot/182629C01_RGB.png"/>
    <hyperlink ref="D662" r:id="rId661" display="https://us.pandora.net/on/demandware.static/-/Sites-pandora-master-catalog/default/dwbb259ca6/productimages/singlepackshot/182629C01_RGB.png"/>
    <hyperlink ref="D663" r:id="rId662" display="https://us.pandora.net/on/demandware.static/-/Sites-pandora-master-catalog/default/dwbb259ca6/productimages/singlepackshot/182629C01_RGB.png"/>
    <hyperlink ref="D664" r:id="rId663" display="https://us.pandora.net/on/demandware.static/-/Sites-pandora-master-catalog/default/dwbb259ca6/productimages/singlepackshot/182629C01_RGB.png"/>
    <hyperlink ref="D665" r:id="rId664" display="https://us.pandora.net/on/demandware.static/-/Sites-pandora-master-catalog/default/dwbb259ca6/productimages/singlepackshot/182629C01_RGB.png"/>
    <hyperlink ref="D666" r:id="rId665" display="https://us.pandora.net/on/demandware.static/-/Sites-pandora-master-catalog/default/dwbb259ca6/productimages/singlepackshot/182629C01_RGB.png"/>
    <hyperlink ref="D667" r:id="rId666" display="https://us.pandora.net/on/demandware.static/-/Sites-pandora-master-catalog/default/dwbb259ca6/productimages/singlepackshot/182773C01_RGB.png"/>
    <hyperlink ref="D668" r:id="rId667" display="https://us.pandora.net/on/demandware.static/-/Sites-pandora-master-catalog/default/dwbb259ca6/productimages/singlepackshot/182773C01_RGB.png"/>
    <hyperlink ref="D669" r:id="rId668" display="https://us.pandora.net/on/demandware.static/-/Sites-pandora-master-catalog/default/dwbb259ca6/productimages/singlepackshot/182773C01_RGB.png"/>
    <hyperlink ref="D670" r:id="rId669" display="https://us.pandora.net/on/demandware.static/-/Sites-pandora-master-catalog/default/dwbb259ca6/productimages/singlepackshot/182773C01_RGB.png"/>
    <hyperlink ref="D671" r:id="rId670" display="https://us.pandora.net/on/demandware.static/-/Sites-pandora-master-catalog/default/dwbb259ca6/productimages/singlepackshot/182773C01_RGB.png"/>
    <hyperlink ref="D672" r:id="rId671" display="https://us.pandora.net/on/demandware.static/-/Sites-pandora-master-catalog/default/dwbb259ca6/productimages/singlepackshot/182773C01_RGB.png"/>
    <hyperlink ref="D673" r:id="rId672" display="https://us.pandora.net/on/demandware.static/-/Sites-pandora-master-catalog/default/dwbb259ca6/productimages/singlepackshot/182773C01_RGB.png"/>
    <hyperlink ref="D674" r:id="rId673" display="https://us.pandora.net/on/demandware.static/-/Sites-pandora-master-catalog/default/dwbb259ca6/productimages/singlepackshot/182835C01_RGB.png"/>
    <hyperlink ref="D675" r:id="rId674" display="https://us.pandora.net/on/demandware.static/-/Sites-pandora-master-catalog/default/dwbb259ca6/productimages/singlepackshot/182835C01_RGB.png"/>
    <hyperlink ref="D676" r:id="rId675" display="https://us.pandora.net/on/demandware.static/-/Sites-pandora-master-catalog/default/dwbb259ca6/productimages/singlepackshot/182835C01_RGB.png"/>
    <hyperlink ref="D677" r:id="rId676" display="https://us.pandora.net/on/demandware.static/-/Sites-pandora-master-catalog/default/dwbb259ca6/productimages/singlepackshot/182835C01_RGB.png"/>
    <hyperlink ref="D678" r:id="rId677" display="https://us.pandora.net/on/demandware.static/-/Sites-pandora-master-catalog/default/dwbb259ca6/productimages/singlepackshot/182835C01_RGB.png"/>
    <hyperlink ref="D679" r:id="rId678" display="https://us.pandora.net/on/demandware.static/-/Sites-pandora-master-catalog/default/dwbb259ca6/productimages/singlepackshot/182835C01_RGB.png"/>
    <hyperlink ref="D680" r:id="rId679" display="https://us.pandora.net/on/demandware.static/-/Sites-pandora-master-catalog/default/dwbb259ca6/productimages/singlepackshot/182835C01_RGB.png"/>
    <hyperlink ref="D681" r:id="rId680" display="https://us.pandora.net/on/demandware.static/-/Sites-pandora-master-catalog/default/dwbb259ca6/productimages/singlepackshot/182999C01_RGB.png"/>
    <hyperlink ref="D682" r:id="rId681" display="https://us.pandora.net/on/demandware.static/-/Sites-pandora-master-catalog/default/dwbb259ca6/productimages/singlepackshot/182999C01_RGB.png"/>
    <hyperlink ref="D683" r:id="rId682" display="https://us.pandora.net/on/demandware.static/-/Sites-pandora-master-catalog/default/dwbb259ca6/productimages/singlepackshot/182999C01_RGB.png"/>
    <hyperlink ref="D684" r:id="rId683" display="https://us.pandora.net/on/demandware.static/-/Sites-pandora-master-catalog/default/dwbb259ca6/productimages/singlepackshot/182999C01_RGB.png"/>
    <hyperlink ref="D685" r:id="rId684" display="https://us.pandora.net/on/demandware.static/-/Sites-pandora-master-catalog/default/dwbb259ca6/productimages/singlepackshot/182999C01_RGB.png"/>
    <hyperlink ref="D686" r:id="rId685" display="https://us.pandora.net/on/demandware.static/-/Sites-pandora-master-catalog/default/dwbb259ca6/productimages/singlepackshot/182999C01_RGB.png"/>
    <hyperlink ref="D687" r:id="rId686" display="https://us.pandora.net/on/demandware.static/-/Sites-pandora-master-catalog/default/dwbb259ca6/productimages/singlepackshot/182999C01_RGB.png"/>
    <hyperlink ref="D688" r:id="rId687" display="https://us.pandora.net/on/demandware.static/-/Sites-pandora-master-catalog/default/dwbb259ca6/productimages/singlepackshot/183021C01_RGB.png"/>
    <hyperlink ref="D689" r:id="rId688" display="https://us.pandora.net/on/demandware.static/-/Sites-pandora-master-catalog/default/dwbb259ca6/productimages/singlepackshot/183021C01_RGB.png"/>
    <hyperlink ref="D690" r:id="rId689" display="https://us.pandora.net/on/demandware.static/-/Sites-pandora-master-catalog/default/dwbb259ca6/productimages/singlepackshot/183021C01_RGB.png"/>
    <hyperlink ref="D691" r:id="rId690" display="https://us.pandora.net/on/demandware.static/-/Sites-pandora-master-catalog/default/dwbb259ca6/productimages/singlepackshot/183021C01_RGB.png"/>
    <hyperlink ref="D692" r:id="rId691" display="https://us.pandora.net/on/demandware.static/-/Sites-pandora-master-catalog/default/dwbb259ca6/productimages/singlepackshot/183021C01_RGB.png"/>
    <hyperlink ref="D693" r:id="rId692" display="https://us.pandora.net/on/demandware.static/-/Sites-pandora-master-catalog/default/dwbb259ca6/productimages/singlepackshot/183021C01_RGB.png"/>
    <hyperlink ref="D694" r:id="rId693" display="https://us.pandora.net/on/demandware.static/-/Sites-pandora-master-catalog/default/dwbb259ca6/productimages/singlepackshot/183021C01_RGB.png"/>
    <hyperlink ref="D695" r:id="rId694" display="https://us.pandora.net/on/demandware.static/-/Sites-pandora-master-catalog/default/dwbb259ca6/productimages/singlepackshot/183095C00_RGB.png"/>
    <hyperlink ref="D696" r:id="rId695" display="https://us.pandora.net/on/demandware.static/-/Sites-pandora-master-catalog/default/dwbb259ca6/productimages/singlepackshot/183095C00_RGB.png"/>
    <hyperlink ref="D697" r:id="rId696" display="https://us.pandora.net/on/demandware.static/-/Sites-pandora-master-catalog/default/dwbb259ca6/productimages/singlepackshot/183095C00_RGB.png"/>
    <hyperlink ref="D698" r:id="rId697" display="https://us.pandora.net/on/demandware.static/-/Sites-pandora-master-catalog/default/dwbb259ca6/productimages/singlepackshot/183095C00_RGB.png"/>
    <hyperlink ref="D699" r:id="rId698" display="https://us.pandora.net/on/demandware.static/-/Sites-pandora-master-catalog/default/dwbb259ca6/productimages/singlepackshot/183095C00_RGB.png"/>
    <hyperlink ref="D700" r:id="rId699" display="https://us.pandora.net/on/demandware.static/-/Sites-pandora-master-catalog/default/dwbb259ca6/productimages/singlepackshot/183095C00_RGB.png"/>
    <hyperlink ref="D701" r:id="rId700" display="https://us.pandora.net/on/demandware.static/-/Sites-pandora-master-catalog/default/dwbb259ca6/productimages/singlepackshot/183095C00_RGB.png"/>
    <hyperlink ref="D702" r:id="rId701" display="https://us.pandora.net/on/demandware.static/-/Sites-pandora-master-catalog/default/dwbb259ca6/productimages/singlepackshot/183100C01_RGB.png"/>
    <hyperlink ref="D703" r:id="rId702" display="https://us.pandora.net/on/demandware.static/-/Sites-pandora-master-catalog/default/dwbb259ca6/productimages/singlepackshot/183100C01_RGB.png"/>
    <hyperlink ref="D704" r:id="rId703" display="https://us.pandora.net/on/demandware.static/-/Sites-pandora-master-catalog/default/dwbb259ca6/productimages/singlepackshot/183100C01_RGB.png"/>
    <hyperlink ref="D705" r:id="rId704" display="https://us.pandora.net/on/demandware.static/-/Sites-pandora-master-catalog/default/dwbb259ca6/productimages/singlepackshot/183100C01_RGB.png"/>
    <hyperlink ref="D706" r:id="rId705" display="https://us.pandora.net/on/demandware.static/-/Sites-pandora-master-catalog/default/dwbb259ca6/productimages/singlepackshot/183100C01_RGB.png"/>
    <hyperlink ref="D707" r:id="rId706" display="https://us.pandora.net/on/demandware.static/-/Sites-pandora-master-catalog/default/dwbb259ca6/productimages/singlepackshot/183100C01_RGB.png"/>
    <hyperlink ref="D708" r:id="rId707" display="https://us.pandora.net/on/demandware.static/-/Sites-pandora-master-catalog/default/dwbb259ca6/productimages/singlepackshot/183100C01_RGB.png"/>
    <hyperlink ref="D709" r:id="rId708" display="https://us.pandora.net/on/demandware.static/-/Sites-pandora-master-catalog/default/dwbb259ca6/productimages/singlepackshot/186251CZ_RGB.png"/>
    <hyperlink ref="D710" r:id="rId709" display="https://us.pandora.net/on/demandware.static/-/Sites-pandora-master-catalog/default/dwbb259ca6/productimages/singlepackshot/186251CZ_RGB.png"/>
    <hyperlink ref="D711" r:id="rId710" display="https://us.pandora.net/on/demandware.static/-/Sites-pandora-master-catalog/default/dwbb259ca6/productimages/singlepackshot/186251CZ_RGB.png"/>
    <hyperlink ref="D712" r:id="rId711" display="https://us.pandora.net/on/demandware.static/-/Sites-pandora-master-catalog/default/dwbb259ca6/productimages/singlepackshot/186251CZ_RGB.png"/>
    <hyperlink ref="D713" r:id="rId712" display="https://us.pandora.net/on/demandware.static/-/Sites-pandora-master-catalog/default/dwbb259ca6/productimages/singlepackshot/186251CZ_RGB.png"/>
    <hyperlink ref="D714" r:id="rId713" display="https://us.pandora.net/on/demandware.static/-/Sites-pandora-master-catalog/default/dwbb259ca6/productimages/singlepackshot/186251CZ_RGB.png"/>
    <hyperlink ref="D715" r:id="rId714" display="https://us.pandora.net/on/demandware.static/-/Sites-pandora-master-catalog/default/dwbb259ca6/productimages/singlepackshot/186251CZ_RGB.png"/>
    <hyperlink ref="D716" r:id="rId715" display="https://us.pandora.net/on/demandware.static/-/Sites-pandora-master-catalog/default/dwbb259ca6/productimages/singlepackshot/186316C02_RGB.png"/>
    <hyperlink ref="D717" r:id="rId716" display="https://us.pandora.net/on/demandware.static/-/Sites-pandora-master-catalog/default/dwbb259ca6/productimages/singlepackshot/186316C02_RGB.png"/>
    <hyperlink ref="D718" r:id="rId717" display="https://us.pandora.net/on/demandware.static/-/Sites-pandora-master-catalog/default/dwbb259ca6/productimages/singlepackshot/186316C02_RGB.png"/>
    <hyperlink ref="D719" r:id="rId718" display="https://us.pandora.net/on/demandware.static/-/Sites-pandora-master-catalog/default/dwbb259ca6/productimages/singlepackshot/186316C02_RGB.png"/>
    <hyperlink ref="D720" r:id="rId719" display="https://us.pandora.net/on/demandware.static/-/Sites-pandora-master-catalog/default/dwbb259ca6/productimages/singlepackshot/186316C02_RGB.png"/>
    <hyperlink ref="D721" r:id="rId720" display="https://us.pandora.net/on/demandware.static/-/Sites-pandora-master-catalog/default/dwbb259ca6/productimages/singlepackshot/186316C02_RGB.png"/>
    <hyperlink ref="D722" r:id="rId721" display="https://us.pandora.net/on/demandware.static/-/Sites-pandora-master-catalog/default/dwbb259ca6/productimages/singlepackshot/186316C02_RGB.png"/>
    <hyperlink ref="D723" r:id="rId722" display="https://us.pandora.net/on/demandware.static/-/Sites-pandora-master-catalog/default/dwbb259ca6/productimages/singlepackshot/186316C02_RGB.png"/>
    <hyperlink ref="D724" r:id="rId723" display="https://us.pandora.net/on/demandware.static/-/Sites-pandora-master-catalog/default/dwbb259ca6/productimages/singlepackshot/186316CZ_RGB.png"/>
    <hyperlink ref="D725" r:id="rId724" display="https://us.pandora.net/on/demandware.static/-/Sites-pandora-master-catalog/default/dwbb259ca6/productimages/singlepackshot/186316CZ_RGB.png"/>
    <hyperlink ref="D726" r:id="rId725" display="https://us.pandora.net/on/demandware.static/-/Sites-pandora-master-catalog/default/dwbb259ca6/productimages/singlepackshot/186316CZ_RGB.png"/>
    <hyperlink ref="D727" r:id="rId726" display="https://us.pandora.net/on/demandware.static/-/Sites-pandora-master-catalog/default/dwbb259ca6/productimages/singlepackshot/186316CZ_RGB.png"/>
    <hyperlink ref="D728" r:id="rId727" display="https://us.pandora.net/on/demandware.static/-/Sites-pandora-master-catalog/default/dwbb259ca6/productimages/singlepackshot/186316CZ_RGB.png"/>
    <hyperlink ref="D729" r:id="rId728" display="https://us.pandora.net/on/demandware.static/-/Sites-pandora-master-catalog/default/dwbb259ca6/productimages/singlepackshot/186316CZ_RGB.png"/>
    <hyperlink ref="D730" r:id="rId729" display="https://us.pandora.net/on/demandware.static/-/Sites-pandora-master-catalog/default/dwbb259ca6/productimages/singlepackshot/186316CZ_RGB.png"/>
    <hyperlink ref="D731" r:id="rId730" display="https://us.pandora.net/on/demandware.static/-/Sites-pandora-master-catalog/default/dwbb259ca6/productimages/singlepackshot/187736CZ_RGB.png"/>
    <hyperlink ref="D732" r:id="rId731" display="https://us.pandora.net/on/demandware.static/-/Sites-pandora-master-catalog/default/dwbb259ca6/productimages/singlepackshot/187736CZ_RGB.png"/>
    <hyperlink ref="D733" r:id="rId732" display="https://us.pandora.net/on/demandware.static/-/Sites-pandora-master-catalog/default/dwbb259ca6/productimages/singlepackshot/187736CZ_RGB.png"/>
    <hyperlink ref="D734" r:id="rId733" display="https://us.pandora.net/on/demandware.static/-/Sites-pandora-master-catalog/default/dwbb259ca6/productimages/singlepackshot/187736CZ_RGB.png"/>
    <hyperlink ref="D735" r:id="rId734" display="https://us.pandora.net/on/demandware.static/-/Sites-pandora-master-catalog/default/dwbb259ca6/productimages/singlepackshot/187736CZ_RGB.png"/>
    <hyperlink ref="D736" r:id="rId735" display="https://us.pandora.net/on/demandware.static/-/Sites-pandora-master-catalog/default/dwbb259ca6/productimages/singlepackshot/187736CZ_RGB.png"/>
    <hyperlink ref="D737" r:id="rId736" display="https://us.pandora.net/on/demandware.static/-/Sites-pandora-master-catalog/default/dwbb259ca6/productimages/singlepackshot/187736CZ_RGB.png"/>
    <hyperlink ref="D738" r:id="rId737" display="https://us.pandora.net/on/demandware.static/-/Sites-pandora-master-catalog/default/dwbb259ca6/productimages/singlepackshot/187736CZ_RGB.png"/>
    <hyperlink ref="D739" r:id="rId738" display="https://us.pandora.net/on/demandware.static/-/Sites-pandora-master-catalog/default/dwbb259ca6/productimages/singlepackshot/188289C01_RGB.png"/>
    <hyperlink ref="D740" r:id="rId739" display="https://us.pandora.net/on/demandware.static/-/Sites-pandora-master-catalog/default/dwbb259ca6/productimages/singlepackshot/188289C01_RGB.png"/>
    <hyperlink ref="D741" r:id="rId740" display="https://us.pandora.net/on/demandware.static/-/Sites-pandora-master-catalog/default/dwbb259ca6/productimages/singlepackshot/188289C01_RGB.png"/>
    <hyperlink ref="D742" r:id="rId741" display="https://us.pandora.net/on/demandware.static/-/Sites-pandora-master-catalog/default/dwbb259ca6/productimages/singlepackshot/188289C01_RGB.png"/>
    <hyperlink ref="D743" r:id="rId742" display="https://us.pandora.net/on/demandware.static/-/Sites-pandora-master-catalog/default/dwbb259ca6/productimages/singlepackshot/188289C01_RGB.png"/>
    <hyperlink ref="D744" r:id="rId743" display="https://us.pandora.net/on/demandware.static/-/Sites-pandora-master-catalog/default/dwbb259ca6/productimages/singlepackshot/188289C01_RGB.png"/>
    <hyperlink ref="D745" r:id="rId744" display="https://us.pandora.net/on/demandware.static/-/Sites-pandora-master-catalog/default/dwbb259ca6/productimages/singlepackshot/188289C01_RGB.png"/>
    <hyperlink ref="D746" r:id="rId745" display="https://us.pandora.net/on/demandware.static/-/Sites-pandora-master-catalog/default/dwbb259ca6/productimages/singlepackshot/188421C01_RGB.png"/>
    <hyperlink ref="D747" r:id="rId746" display="https://us.pandora.net/on/demandware.static/-/Sites-pandora-master-catalog/default/dwbb259ca6/productimages/singlepackshot/188421C01_RGB.png"/>
    <hyperlink ref="D748" r:id="rId747" display="https://us.pandora.net/on/demandware.static/-/Sites-pandora-master-catalog/default/dwbb259ca6/productimages/singlepackshot/188421C01_RGB.png"/>
    <hyperlink ref="D749" r:id="rId748" display="https://us.pandora.net/on/demandware.static/-/Sites-pandora-master-catalog/default/dwbb259ca6/productimages/singlepackshot/188421C01_RGB.png"/>
    <hyperlink ref="D750" r:id="rId749" display="https://us.pandora.net/on/demandware.static/-/Sites-pandora-master-catalog/default/dwbb259ca6/productimages/singlepackshot/188421C01_RGB.png"/>
    <hyperlink ref="D751" r:id="rId750" display="https://us.pandora.net/on/demandware.static/-/Sites-pandora-master-catalog/default/dwbb259ca6/productimages/singlepackshot/188421C01_RGB.png"/>
    <hyperlink ref="D752" r:id="rId751" display="https://us.pandora.net/on/demandware.static/-/Sites-pandora-master-catalog/default/dwbb259ca6/productimages/singlepackshot/188421C01_RGB.png"/>
    <hyperlink ref="D753" r:id="rId752" display="https://us.pandora.net/on/demandware.static/-/Sites-pandora-master-catalog/default/dwbb259ca6/productimages/singlepackshot/188421C02_RGB.png"/>
    <hyperlink ref="D754" r:id="rId753" display="https://us.pandora.net/on/demandware.static/-/Sites-pandora-master-catalog/default/dwbb259ca6/productimages/singlepackshot/188421C02_RGB.png"/>
    <hyperlink ref="D755" r:id="rId754" display="https://us.pandora.net/on/demandware.static/-/Sites-pandora-master-catalog/default/dwbb259ca6/productimages/singlepackshot/188421C02_RGB.png"/>
    <hyperlink ref="D756" r:id="rId755" display="https://us.pandora.net/on/demandware.static/-/Sites-pandora-master-catalog/default/dwbb259ca6/productimages/singlepackshot/188421C02_RGB.png"/>
    <hyperlink ref="D757" r:id="rId756" display="https://us.pandora.net/on/demandware.static/-/Sites-pandora-master-catalog/default/dwbb259ca6/productimages/singlepackshot/188421C02_RGB.png"/>
    <hyperlink ref="D758" r:id="rId757" display="https://us.pandora.net/on/demandware.static/-/Sites-pandora-master-catalog/default/dwbb259ca6/productimages/singlepackshot/188421C02_RGB.png"/>
    <hyperlink ref="D759" r:id="rId758" display="https://us.pandora.net/on/demandware.static/-/Sites-pandora-master-catalog/default/dwbb259ca6/productimages/singlepackshot/188421C02_RGB.png"/>
    <hyperlink ref="D760" r:id="rId759" display="https://us.pandora.net/on/demandware.static/-/Sites-pandora-master-catalog/default/dwbb259ca6/productimages/singlepackshot/188421C02_RGB.png"/>
    <hyperlink ref="D761" r:id="rId760" display="https://us.pandora.net/on/demandware.static/-/Sites-pandora-master-catalog/default/dwbb259ca6/productimages/singlepackshot/188421C02_RGB.png"/>
    <hyperlink ref="D762" r:id="rId761" display="https://us.pandora.net/on/demandware.static/-/Sites-pandora-master-catalog/default/dwbb259ca6/productimages/singlepackshot/188421C02_RGB.png"/>
    <hyperlink ref="D763" r:id="rId762" display="https://us.pandora.net/on/demandware.static/-/Sites-pandora-master-catalog/default/dwbb259ca6/productimages/singlepackshot/188421C02_RGB.png"/>
    <hyperlink ref="D764" r:id="rId763" display="https://us.pandora.net/on/demandware.static/-/Sites-pandora-master-catalog/default/dwbb259ca6/productimages/singlepackshot/188421C03_RGB.png"/>
    <hyperlink ref="D765" r:id="rId764" display="https://us.pandora.net/on/demandware.static/-/Sites-pandora-master-catalog/default/dwbb259ca6/productimages/singlepackshot/188421C03_RGB.png"/>
    <hyperlink ref="D766" r:id="rId765" display="https://us.pandora.net/on/demandware.static/-/Sites-pandora-master-catalog/default/dwbb259ca6/productimages/singlepackshot/188421C03_RGB.png"/>
    <hyperlink ref="D767" r:id="rId766" display="https://us.pandora.net/on/demandware.static/-/Sites-pandora-master-catalog/default/dwbb259ca6/productimages/singlepackshot/188421C03_RGB.png"/>
    <hyperlink ref="D768" r:id="rId767" display="https://us.pandora.net/on/demandware.static/-/Sites-pandora-master-catalog/default/dwbb259ca6/productimages/singlepackshot/188421C03_RGB.png"/>
    <hyperlink ref="D769" r:id="rId768" display="https://us.pandora.net/on/demandware.static/-/Sites-pandora-master-catalog/default/dwbb259ca6/productimages/singlepackshot/188421C03_RGB.png"/>
    <hyperlink ref="D770" r:id="rId769" display="https://us.pandora.net/on/demandware.static/-/Sites-pandora-master-catalog/default/dwbb259ca6/productimages/singlepackshot/188421C03_RGB.png"/>
    <hyperlink ref="D771" r:id="rId770" display="https://us.pandora.net/on/demandware.static/-/Sites-pandora-master-catalog/default/dwbb259ca6/productimages/singlepackshot/188421C04_RGB.png"/>
    <hyperlink ref="D772" r:id="rId771" display="https://us.pandora.net/on/demandware.static/-/Sites-pandora-master-catalog/default/dwbb259ca6/productimages/singlepackshot/188421C04_RGB.png"/>
    <hyperlink ref="D773" r:id="rId772" display="https://us.pandora.net/on/demandware.static/-/Sites-pandora-master-catalog/default/dwbb259ca6/productimages/singlepackshot/188421C04_RGB.png"/>
    <hyperlink ref="D774" r:id="rId773" display="https://us.pandora.net/on/demandware.static/-/Sites-pandora-master-catalog/default/dwbb259ca6/productimages/singlepackshot/188421C04_RGB.png"/>
    <hyperlink ref="D775" r:id="rId774" display="https://us.pandora.net/on/demandware.static/-/Sites-pandora-master-catalog/default/dwbb259ca6/productimages/singlepackshot/188421C04_RGB.png"/>
    <hyperlink ref="D776" r:id="rId775" display="https://us.pandora.net/on/demandware.static/-/Sites-pandora-master-catalog/default/dwbb259ca6/productimages/singlepackshot/188421C04_RGB.png"/>
    <hyperlink ref="D777" r:id="rId776" display="https://us.pandora.net/on/demandware.static/-/Sites-pandora-master-catalog/default/dwbb259ca6/productimages/singlepackshot/188421C04_RGB.png"/>
    <hyperlink ref="D778" r:id="rId777" display="https://us.pandora.net/on/demandware.static/-/Sites-pandora-master-catalog/default/dwbb259ca6/productimages/singlepackshot/188421C04_RGB.png"/>
    <hyperlink ref="D779" r:id="rId778" display="https://us.pandora.net/on/demandware.static/-/Sites-pandora-master-catalog/default/dwbb259ca6/productimages/singlepackshot/188421C04_RGB.png"/>
    <hyperlink ref="D780" r:id="rId779" display="https://us.pandora.net/on/demandware.static/-/Sites-pandora-master-catalog/default/dwbb259ca6/productimages/singlepackshot/188421C04_RGB.png"/>
    <hyperlink ref="D781" r:id="rId780" display="https://us.pandora.net/on/demandware.static/-/Sites-pandora-master-catalog/default/dwbb259ca6/productimages/singlepackshot/188421C04_RGB.png"/>
    <hyperlink ref="D782" r:id="rId781" display="https://us.pandora.net/on/demandware.static/-/Sites-pandora-master-catalog/default/dwbb259ca6/productimages/singlepackshot/188862C01_RGB.png"/>
    <hyperlink ref="D783" r:id="rId782" display="https://us.pandora.net/on/demandware.static/-/Sites-pandora-master-catalog/default/dwbb259ca6/productimages/singlepackshot/188862C01_RGB.png"/>
    <hyperlink ref="D784" r:id="rId783" display="https://us.pandora.net/on/demandware.static/-/Sites-pandora-master-catalog/default/dwbb259ca6/productimages/singlepackshot/188862C01_RGB.png"/>
    <hyperlink ref="D785" r:id="rId784" display="https://us.pandora.net/on/demandware.static/-/Sites-pandora-master-catalog/default/dwbb259ca6/productimages/singlepackshot/188862C01_RGB.png"/>
    <hyperlink ref="D786" r:id="rId785" display="https://us.pandora.net/on/demandware.static/-/Sites-pandora-master-catalog/default/dwbb259ca6/productimages/singlepackshot/188862C01_RGB.png"/>
    <hyperlink ref="D787" r:id="rId786" display="https://us.pandora.net/on/demandware.static/-/Sites-pandora-master-catalog/default/dwbb259ca6/productimages/singlepackshot/188862C01_RGB.png"/>
    <hyperlink ref="D788" r:id="rId787" display="https://us.pandora.net/on/demandware.static/-/Sites-pandora-master-catalog/default/dwbb259ca6/productimages/singlepackshot/188862C01_RGB.png"/>
    <hyperlink ref="D789" r:id="rId788" display="https://us.pandora.net/on/demandware.static/-/Sites-pandora-master-catalog/default/dwbb259ca6/productimages/singlepackshot/189057C01_RGB.png"/>
    <hyperlink ref="D790" r:id="rId789" display="https://us.pandora.net/on/demandware.static/-/Sites-pandora-master-catalog/default/dwbb259ca6/productimages/singlepackshot/189057C01_RGB.png"/>
    <hyperlink ref="D791" r:id="rId790" display="https://us.pandora.net/on/demandware.static/-/Sites-pandora-master-catalog/default/dwbb259ca6/productimages/singlepackshot/189057C01_RGB.png"/>
    <hyperlink ref="D792" r:id="rId791" display="https://us.pandora.net/on/demandware.static/-/Sites-pandora-master-catalog/default/dwbb259ca6/productimages/singlepackshot/189057C01_RGB.png"/>
    <hyperlink ref="D793" r:id="rId792" display="https://us.pandora.net/on/demandware.static/-/Sites-pandora-master-catalog/default/dwbb259ca6/productimages/singlepackshot/189057C01_RGB.png"/>
    <hyperlink ref="D794" r:id="rId793" display="https://us.pandora.net/on/demandware.static/-/Sites-pandora-master-catalog/default/dwbb259ca6/productimages/singlepackshot/189057C01_RGB.png"/>
    <hyperlink ref="D795" r:id="rId794" display="https://us.pandora.net/on/demandware.static/-/Sites-pandora-master-catalog/default/dwbb259ca6/productimages/singlepackshot/189057C01_RGB.png"/>
    <hyperlink ref="D796" r:id="rId795" display="https://us.pandora.net/on/demandware.static/-/Sites-pandora-master-catalog/default/dwbb259ca6/productimages/singlepackshot/189302C01_RGB.png"/>
    <hyperlink ref="D797" r:id="rId796" display="https://us.pandora.net/on/demandware.static/-/Sites-pandora-master-catalog/default/dwbb259ca6/productimages/singlepackshot/189302C01_RGB.png"/>
    <hyperlink ref="D798" r:id="rId797" display="https://us.pandora.net/on/demandware.static/-/Sites-pandora-master-catalog/default/dwbb259ca6/productimages/singlepackshot/189302C01_RGB.png"/>
    <hyperlink ref="D799" r:id="rId798" display="https://us.pandora.net/on/demandware.static/-/Sites-pandora-master-catalog/default/dwbb259ca6/productimages/singlepackshot/189302C01_RGB.png"/>
    <hyperlink ref="D800" r:id="rId799" display="https://us.pandora.net/on/demandware.static/-/Sites-pandora-master-catalog/default/dwbb259ca6/productimages/singlepackshot/189302C01_RGB.png"/>
    <hyperlink ref="D801" r:id="rId800" display="https://us.pandora.net/on/demandware.static/-/Sites-pandora-master-catalog/default/dwbb259ca6/productimages/singlepackshot/189302C01_RGB.png"/>
    <hyperlink ref="D802" r:id="rId801" display="https://us.pandora.net/on/demandware.static/-/Sites-pandora-master-catalog/default/dwbb259ca6/productimages/singlepackshot/189302C01_RGB.png"/>
    <hyperlink ref="D803" r:id="rId802" display="https://us.pandora.net/on/demandware.static/-/Sites-pandora-master-catalog/default/dwbb259ca6/productimages/singlepackshot/189655C01_RGB.png"/>
    <hyperlink ref="D804" r:id="rId803" display="https://us.pandora.net/on/demandware.static/-/Sites-pandora-master-catalog/default/dwbb259ca6/productimages/singlepackshot/189655C01_RGB.png"/>
    <hyperlink ref="D805" r:id="rId804" display="https://us.pandora.net/on/demandware.static/-/Sites-pandora-master-catalog/default/dwbb259ca6/productimages/singlepackshot/189655C01_RGB.png"/>
    <hyperlink ref="D806" r:id="rId805" display="https://us.pandora.net/on/demandware.static/-/Sites-pandora-master-catalog/default/dwbb259ca6/productimages/singlepackshot/189655C01_RGB.png"/>
    <hyperlink ref="D807" r:id="rId806" display="https://us.pandora.net/on/demandware.static/-/Sites-pandora-master-catalog/default/dwbb259ca6/productimages/singlepackshot/189655C01_RGB.png"/>
    <hyperlink ref="D808" r:id="rId807" display="https://us.pandora.net/on/demandware.static/-/Sites-pandora-master-catalog/default/dwbb259ca6/productimages/singlepackshot/189655C01_RGB.png"/>
    <hyperlink ref="D809" r:id="rId808" display="https://us.pandora.net/on/demandware.static/-/Sites-pandora-master-catalog/default/dwbb259ca6/productimages/singlepackshot/189655C01_RGB.png"/>
    <hyperlink ref="D810" r:id="rId809" display="https://us.pandora.net/on/demandware.static/-/Sites-pandora-master-catalog/default/dwbb259ca6/productimages/singlepackshot/189655C01_RGB.png"/>
    <hyperlink ref="D811" r:id="rId810" display="https://us.pandora.net/on/demandware.static/-/Sites-pandora-master-catalog/default/dwbb259ca6/productimages/singlepackshot/189679C01_RGB.png"/>
    <hyperlink ref="D812" r:id="rId811" display="https://us.pandora.net/on/demandware.static/-/Sites-pandora-master-catalog/default/dwbb259ca6/productimages/singlepackshot/189679C01_RGB.png"/>
    <hyperlink ref="D813" r:id="rId812" display="https://us.pandora.net/on/demandware.static/-/Sites-pandora-master-catalog/default/dwbb259ca6/productimages/singlepackshot/189679C01_RGB.png"/>
    <hyperlink ref="D814" r:id="rId813" display="https://us.pandora.net/on/demandware.static/-/Sites-pandora-master-catalog/default/dwbb259ca6/productimages/singlepackshot/189679C01_RGB.png"/>
    <hyperlink ref="D815" r:id="rId814" display="https://us.pandora.net/on/demandware.static/-/Sites-pandora-master-catalog/default/dwbb259ca6/productimages/singlepackshot/189679C01_RGB.png"/>
    <hyperlink ref="D816" r:id="rId815" display="https://us.pandora.net/on/demandware.static/-/Sites-pandora-master-catalog/default/dwbb259ca6/productimages/singlepackshot/189679C01_RGB.png"/>
    <hyperlink ref="D817" r:id="rId816" display="https://us.pandora.net/on/demandware.static/-/Sites-pandora-master-catalog/default/dwbb259ca6/productimages/singlepackshot/189679C01_RGB.png"/>
    <hyperlink ref="D818" r:id="rId817" display="https://us.pandora.net/on/demandware.static/-/Sites-pandora-master-catalog/default/dwbb259ca6/productimages/singlepackshot/189679C01_RGB.png"/>
    <hyperlink ref="D819" r:id="rId818" display="https://us.pandora.net/on/demandware.static/-/Sites-pandora-master-catalog/default/dwbb259ca6/productimages/singlepackshot/190017C01_RGB.png"/>
    <hyperlink ref="D820" r:id="rId819" display="https://us.pandora.net/on/demandware.static/-/Sites-pandora-master-catalog/default/dwbb259ca6/productimages/singlepackshot/190017C01_RGB.png"/>
    <hyperlink ref="D821" r:id="rId820" display="https://us.pandora.net/on/demandware.static/-/Sites-pandora-master-catalog/default/dwbb259ca6/productimages/singlepackshot/190017C01_RGB.png"/>
    <hyperlink ref="D822" r:id="rId821" display="https://us.pandora.net/on/demandware.static/-/Sites-pandora-master-catalog/default/dwbb259ca6/productimages/singlepackshot/190017C01_RGB.png"/>
    <hyperlink ref="D823" r:id="rId822" display="https://us.pandora.net/on/demandware.static/-/Sites-pandora-master-catalog/default/dwbb259ca6/productimages/singlepackshot/190017C01_RGB.png"/>
    <hyperlink ref="D824" r:id="rId823" display="https://us.pandora.net/on/demandware.static/-/Sites-pandora-master-catalog/default/dwbb259ca6/productimages/singlepackshot/190017C01_RGB.png"/>
    <hyperlink ref="D825" r:id="rId824" display="https://us.pandora.net/on/demandware.static/-/Sites-pandora-master-catalog/default/dwbb259ca6/productimages/singlepackshot/190017C01_RGB.png"/>
    <hyperlink ref="D826" r:id="rId825" display="https://us.pandora.net/on/demandware.static/-/Sites-pandora-master-catalog/default/dwbb259ca6/productimages/singlepackshot/190026C01_RGB.png"/>
    <hyperlink ref="D827" r:id="rId826" display="https://us.pandora.net/on/demandware.static/-/Sites-pandora-master-catalog/default/dwbb259ca6/productimages/singlepackshot/190026C01_RGB.png"/>
    <hyperlink ref="D828" r:id="rId827" display="https://us.pandora.net/on/demandware.static/-/Sites-pandora-master-catalog/default/dwbb259ca6/productimages/singlepackshot/190026C01_RGB.png"/>
    <hyperlink ref="D829" r:id="rId828" display="https://us.pandora.net/on/demandware.static/-/Sites-pandora-master-catalog/default/dwbb259ca6/productimages/singlepackshot/190026C01_RGB.png"/>
    <hyperlink ref="D830" r:id="rId829" display="https://us.pandora.net/on/demandware.static/-/Sites-pandora-master-catalog/default/dwbb259ca6/productimages/singlepackshot/190026C01_RGB.png"/>
    <hyperlink ref="D831" r:id="rId830" display="https://us.pandora.net/on/demandware.static/-/Sites-pandora-master-catalog/default/dwbb259ca6/productimages/singlepackshot/190026C01_RGB.png"/>
    <hyperlink ref="D832" r:id="rId831" display="https://us.pandora.net/on/demandware.static/-/Sites-pandora-master-catalog/default/dwbb259ca6/productimages/singlepackshot/190026C01_RGB.png"/>
    <hyperlink ref="D833" r:id="rId832" display="https://us.pandora.net/on/demandware.static/-/Sites-pandora-master-catalog/default/dwbb259ca6/productimages/singlepackshot/190029C00_RGB.png"/>
    <hyperlink ref="D834" r:id="rId833" display="https://us.pandora.net/on/demandware.static/-/Sites-pandora-master-catalog/default/dwbb259ca6/productimages/singlepackshot/190029C00_RGB.png"/>
    <hyperlink ref="D835" r:id="rId834" display="https://us.pandora.net/on/demandware.static/-/Sites-pandora-master-catalog/default/dwbb259ca6/productimages/singlepackshot/190029C00_RGB.png"/>
    <hyperlink ref="D836" r:id="rId835" display="https://us.pandora.net/on/demandware.static/-/Sites-pandora-master-catalog/default/dwbb259ca6/productimages/singlepackshot/190029C00_RGB.png"/>
    <hyperlink ref="D837" r:id="rId836" display="https://us.pandora.net/on/demandware.static/-/Sites-pandora-master-catalog/default/dwbb259ca6/productimages/singlepackshot/190029C00_RGB.png"/>
    <hyperlink ref="D838" r:id="rId837" display="https://us.pandora.net/on/demandware.static/-/Sites-pandora-master-catalog/default/dwbb259ca6/productimages/singlepackshot/190029C00_RGB.png"/>
    <hyperlink ref="D839" r:id="rId838" display="https://us.pandora.net/on/demandware.static/-/Sites-pandora-master-catalog/default/dwbb259ca6/productimages/singlepackshot/190029C00_RGB.png"/>
    <hyperlink ref="D840" r:id="rId839" display="https://us.pandora.net/on/demandware.static/-/Sites-pandora-master-catalog/default/dwbb259ca6/productimages/singlepackshot/190050C01_RGB.png"/>
    <hyperlink ref="D841" r:id="rId840" display="https://us.pandora.net/on/demandware.static/-/Sites-pandora-master-catalog/default/dwbb259ca6/productimages/singlepackshot/190050C01_RGB.png"/>
    <hyperlink ref="D842" r:id="rId841" display="https://us.pandora.net/on/demandware.static/-/Sites-pandora-master-catalog/default/dwbb259ca6/productimages/singlepackshot/190050C01_RGB.png"/>
    <hyperlink ref="D843" r:id="rId842" display="https://us.pandora.net/on/demandware.static/-/Sites-pandora-master-catalog/default/dwbb259ca6/productimages/singlepackshot/190050C01_RGB.png"/>
    <hyperlink ref="D844" r:id="rId843" display="https://us.pandora.net/on/demandware.static/-/Sites-pandora-master-catalog/default/dwbb259ca6/productimages/singlepackshot/190050C01_RGB.png"/>
    <hyperlink ref="D845" r:id="rId844" display="https://us.pandora.net/on/demandware.static/-/Sites-pandora-master-catalog/default/dwbb259ca6/productimages/singlepackshot/190050C01_RGB.png"/>
    <hyperlink ref="D846" r:id="rId845" display="https://us.pandora.net/on/demandware.static/-/Sites-pandora-master-catalog/default/dwbb259ca6/productimages/singlepackshot/190050C01_RGB.png"/>
    <hyperlink ref="D847" r:id="rId846" display="https://us.pandora.net/on/demandware.static/-/Sites-pandora-master-catalog/default/dwbb259ca6/productimages/singlepackshot/190050C01_RGB.png"/>
    <hyperlink ref="D848" r:id="rId847" display="https://us.pandora.net/on/demandware.static/-/Sites-pandora-master-catalog/default/dwbb259ca6/productimages/singlepackshot/190050C01_RGB.png"/>
    <hyperlink ref="D849" r:id="rId848" display="https://us.pandora.net/on/demandware.static/-/Sites-pandora-master-catalog/default/dwbb259ca6/productimages/singlepackshot/190050C01_RGB.png"/>
    <hyperlink ref="D850" r:id="rId849" display="https://us.pandora.net/on/demandware.static/-/Sites-pandora-master-catalog/default/dwbb259ca6/productimages/singlepackshot/190050C01_RGB.png"/>
    <hyperlink ref="D851" r:id="rId850" display="https://us.pandora.net/on/demandware.static/-/Sites-pandora-master-catalog/default/dwbb259ca6/productimages/singlepackshot/190050C02_RGB.png"/>
    <hyperlink ref="D852" r:id="rId851" display="https://us.pandora.net/on/demandware.static/-/Sites-pandora-master-catalog/default/dwbb259ca6/productimages/singlepackshot/190050C02_RGB.png"/>
    <hyperlink ref="D853" r:id="rId852" display="https://us.pandora.net/on/demandware.static/-/Sites-pandora-master-catalog/default/dwbb259ca6/productimages/singlepackshot/190050C02_RGB.png"/>
    <hyperlink ref="D854" r:id="rId853" display="https://us.pandora.net/on/demandware.static/-/Sites-pandora-master-catalog/default/dwbb259ca6/productimages/singlepackshot/190050C02_RGB.png"/>
    <hyperlink ref="D855" r:id="rId854" display="https://us.pandora.net/on/demandware.static/-/Sites-pandora-master-catalog/default/dwbb259ca6/productimages/singlepackshot/190050C02_RGB.png"/>
    <hyperlink ref="D856" r:id="rId855" display="https://us.pandora.net/on/demandware.static/-/Sites-pandora-master-catalog/default/dwbb259ca6/productimages/singlepackshot/190050C02_RGB.png"/>
    <hyperlink ref="D857" r:id="rId856" display="https://us.pandora.net/on/demandware.static/-/Sites-pandora-master-catalog/default/dwbb259ca6/productimages/singlepackshot/190050C02_RGB.png"/>
    <hyperlink ref="D858" r:id="rId857" display="https://us.pandora.net/on/demandware.static/-/Sites-pandora-master-catalog/default/dwbb259ca6/productimages/singlepackshot/190052C01_RGB.png"/>
    <hyperlink ref="D859" r:id="rId858" display="https://us.pandora.net/on/demandware.static/-/Sites-pandora-master-catalog/default/dwbb259ca6/productimages/singlepackshot/190052C01_RGB.png"/>
    <hyperlink ref="D860" r:id="rId859" display="https://us.pandora.net/on/demandware.static/-/Sites-pandora-master-catalog/default/dwbb259ca6/productimages/singlepackshot/190052C01_RGB.png"/>
    <hyperlink ref="D861" r:id="rId860" display="https://us.pandora.net/on/demandware.static/-/Sites-pandora-master-catalog/default/dwbb259ca6/productimages/singlepackshot/190052C01_RGB.png"/>
    <hyperlink ref="D862" r:id="rId861" display="https://us.pandora.net/on/demandware.static/-/Sites-pandora-master-catalog/default/dwbb259ca6/productimages/singlepackshot/190052C01_RGB.png"/>
    <hyperlink ref="D863" r:id="rId862" display="https://us.pandora.net/on/demandware.static/-/Sites-pandora-master-catalog/default/dwbb259ca6/productimages/singlepackshot/190052C01_RGB.png"/>
    <hyperlink ref="D864" r:id="rId863" display="https://us.pandora.net/on/demandware.static/-/Sites-pandora-master-catalog/default/dwbb259ca6/productimages/singlepackshot/190052C01_RGB.png"/>
    <hyperlink ref="D865" r:id="rId864" display="https://us.pandora.net/on/demandware.static/-/Sites-pandora-master-catalog/default/dwbb259ca6/productimages/singlepackshot/190056C01_RGB.png"/>
    <hyperlink ref="D866" r:id="rId865" display="https://us.pandora.net/on/demandware.static/-/Sites-pandora-master-catalog/default/dwbb259ca6/productimages/singlepackshot/190056C01_RGB.png"/>
    <hyperlink ref="D867" r:id="rId866" display="https://us.pandora.net/on/demandware.static/-/Sites-pandora-master-catalog/default/dwbb259ca6/productimages/singlepackshot/190056C01_RGB.png"/>
    <hyperlink ref="D868" r:id="rId867" display="https://us.pandora.net/on/demandware.static/-/Sites-pandora-master-catalog/default/dwbb259ca6/productimages/singlepackshot/190056C01_RGB.png"/>
    <hyperlink ref="D869" r:id="rId868" display="https://us.pandora.net/on/demandware.static/-/Sites-pandora-master-catalog/default/dwbb259ca6/productimages/singlepackshot/190056C01_RGB.png"/>
    <hyperlink ref="D870" r:id="rId869" display="https://us.pandora.net/on/demandware.static/-/Sites-pandora-master-catalog/default/dwbb259ca6/productimages/singlepackshot/190056C01_RGB.png"/>
    <hyperlink ref="D871" r:id="rId870" display="https://us.pandora.net/on/demandware.static/-/Sites-pandora-master-catalog/default/dwbb259ca6/productimages/singlepackshot/190056C01_RGB.png"/>
    <hyperlink ref="D872" r:id="rId871" display="https://us.pandora.net/on/demandware.static/-/Sites-pandora-master-catalog/default/dwbb259ca6/productimages/singlepackshot/190074C01_RGB.png"/>
    <hyperlink ref="D873" r:id="rId872" display="https://us.pandora.net/on/demandware.static/-/Sites-pandora-master-catalog/default/dwbb259ca6/productimages/singlepackshot/190074C01_RGB.png"/>
    <hyperlink ref="D874" r:id="rId873" display="https://us.pandora.net/on/demandware.static/-/Sites-pandora-master-catalog/default/dwbb259ca6/productimages/singlepackshot/190074C01_RGB.png"/>
    <hyperlink ref="D875" r:id="rId874" display="https://us.pandora.net/on/demandware.static/-/Sites-pandora-master-catalog/default/dwbb259ca6/productimages/singlepackshot/190074C01_RGB.png"/>
    <hyperlink ref="D876" r:id="rId875" display="https://us.pandora.net/on/demandware.static/-/Sites-pandora-master-catalog/default/dwbb259ca6/productimages/singlepackshot/190074C01_RGB.png"/>
    <hyperlink ref="D877" r:id="rId876" display="https://us.pandora.net/on/demandware.static/-/Sites-pandora-master-catalog/default/dwbb259ca6/productimages/singlepackshot/190074C01_RGB.png"/>
    <hyperlink ref="D878" r:id="rId877" display="https://us.pandora.net/on/demandware.static/-/Sites-pandora-master-catalog/default/dwbb259ca6/productimages/singlepackshot/190074C01_RGB.png"/>
    <hyperlink ref="D879" r:id="rId878" display="https://us.pandora.net/on/demandware.static/-/Sites-pandora-master-catalog/default/dwbb259ca6/productimages/singlepackshot/190880CZ_RGB.png"/>
    <hyperlink ref="D880" r:id="rId879" display="https://us.pandora.net/on/demandware.static/-/Sites-pandora-master-catalog/default/dwbb259ca6/productimages/singlepackshot/190880CZ_RGB.png"/>
    <hyperlink ref="D881" r:id="rId880" display="https://us.pandora.net/on/demandware.static/-/Sites-pandora-master-catalog/default/dwbb259ca6/productimages/singlepackshot/190880CZ_RGB.png"/>
    <hyperlink ref="D882" r:id="rId881" display="https://us.pandora.net/on/demandware.static/-/Sites-pandora-master-catalog/default/dwbb259ca6/productimages/singlepackshot/190880CZ_RGB.png"/>
    <hyperlink ref="D883" r:id="rId882" display="https://us.pandora.net/on/demandware.static/-/Sites-pandora-master-catalog/default/dwbb259ca6/productimages/singlepackshot/190880CZ_RGB.png"/>
    <hyperlink ref="D884" r:id="rId883" display="https://us.pandora.net/on/demandware.static/-/Sites-pandora-master-catalog/default/dwbb259ca6/productimages/singlepackshot/190880CZ_RGB.png"/>
    <hyperlink ref="D885" r:id="rId884" display="https://us.pandora.net/on/demandware.static/-/Sites-pandora-master-catalog/default/dwbb259ca6/productimages/singlepackshot/190880CZ_RGB.png"/>
    <hyperlink ref="D886" r:id="rId885" display="https://us.pandora.net/on/demandware.static/-/Sites-pandora-master-catalog/default/dwbb259ca6/productimages/singlepackshot/190892CZ_RGB.png"/>
    <hyperlink ref="D887" r:id="rId886" display="https://us.pandora.net/on/demandware.static/-/Sites-pandora-master-catalog/default/dwbb259ca6/productimages/singlepackshot/190892CZ_RGB.png"/>
    <hyperlink ref="D888" r:id="rId887" display="https://us.pandora.net/on/demandware.static/-/Sites-pandora-master-catalog/default/dwbb259ca6/productimages/singlepackshot/190892CZ_RGB.png"/>
    <hyperlink ref="D889" r:id="rId888" display="https://us.pandora.net/on/demandware.static/-/Sites-pandora-master-catalog/default/dwbb259ca6/productimages/singlepackshot/190892CZ_RGB.png"/>
    <hyperlink ref="D890" r:id="rId889" display="https://us.pandora.net/on/demandware.static/-/Sites-pandora-master-catalog/default/dwbb259ca6/productimages/singlepackshot/190892CZ_RGB.png"/>
    <hyperlink ref="D891" r:id="rId890" display="https://us.pandora.net/on/demandware.static/-/Sites-pandora-master-catalog/default/dwbb259ca6/productimages/singlepackshot/190892CZ_RGB.png"/>
    <hyperlink ref="D892" r:id="rId891" display="https://us.pandora.net/on/demandware.static/-/Sites-pandora-master-catalog/default/dwbb259ca6/productimages/singlepackshot/190892CZ_RGB.png"/>
    <hyperlink ref="D893" r:id="rId892" display="https://us.pandora.net/on/demandware.static/-/Sites-pandora-master-catalog/default/dwbb259ca6/productimages/singlepackshot/190919CZ_RGB.png"/>
    <hyperlink ref="D894" r:id="rId893" display="https://us.pandora.net/on/demandware.static/-/Sites-pandora-master-catalog/default/dwbb259ca6/productimages/singlepackshot/190919CZ_RGB.png"/>
    <hyperlink ref="D895" r:id="rId894" display="https://us.pandora.net/on/demandware.static/-/Sites-pandora-master-catalog/default/dwbb259ca6/productimages/singlepackshot/190919CZ_RGB.png"/>
    <hyperlink ref="D896" r:id="rId895" display="https://us.pandora.net/on/demandware.static/-/Sites-pandora-master-catalog/default/dwbb259ca6/productimages/singlepackshot/190919CZ_RGB.png"/>
    <hyperlink ref="D897" r:id="rId896" display="https://us.pandora.net/on/demandware.static/-/Sites-pandora-master-catalog/default/dwbb259ca6/productimages/singlepackshot/190919CZ_RGB.png"/>
    <hyperlink ref="D898" r:id="rId897" display="https://us.pandora.net/on/demandware.static/-/Sites-pandora-master-catalog/default/dwbb259ca6/productimages/singlepackshot/190919CZ_RGB.png"/>
    <hyperlink ref="D899" r:id="rId898" display="https://us.pandora.net/on/demandware.static/-/Sites-pandora-master-catalog/default/dwbb259ca6/productimages/singlepackshot/190919CZ_RGB.png"/>
    <hyperlink ref="D900" r:id="rId899" display="https://us.pandora.net/on/demandware.static/-/Sites-pandora-master-catalog/default/dwbb259ca6/productimages/singlepackshot/190919CZ_RGB.png"/>
    <hyperlink ref="D901" r:id="rId900" display="https://us.pandora.net/on/demandware.static/-/Sites-pandora-master-catalog/default/dwbb259ca6/productimages/singlepackshot/190934CZ_RGB.png"/>
    <hyperlink ref="D902" r:id="rId901" display="https://us.pandora.net/on/demandware.static/-/Sites-pandora-master-catalog/default/dwbb259ca6/productimages/singlepackshot/190934CZ_RGB.png"/>
    <hyperlink ref="D903" r:id="rId902" display="https://us.pandora.net/on/demandware.static/-/Sites-pandora-master-catalog/default/dwbb259ca6/productimages/singlepackshot/190934CZ_RGB.png"/>
    <hyperlink ref="D904" r:id="rId903" display="https://us.pandora.net/on/demandware.static/-/Sites-pandora-master-catalog/default/dwbb259ca6/productimages/singlepackshot/190934CZ_RGB.png"/>
    <hyperlink ref="D905" r:id="rId904" display="https://us.pandora.net/on/demandware.static/-/Sites-pandora-master-catalog/default/dwbb259ca6/productimages/singlepackshot/190934CZ_RGB.png"/>
    <hyperlink ref="D906" r:id="rId905" display="https://us.pandora.net/on/demandware.static/-/Sites-pandora-master-catalog/default/dwbb259ca6/productimages/singlepackshot/190934CZ_RGB.png"/>
    <hyperlink ref="D907" r:id="rId906" display="https://us.pandora.net/on/demandware.static/-/Sites-pandora-master-catalog/default/dwbb259ca6/productimages/singlepackshot/190934CZ_RGB.png"/>
    <hyperlink ref="D908" r:id="rId907" display="https://us.pandora.net/on/demandware.static/-/Sites-pandora-master-catalog/default/dwbb259ca6/productimages/singlepackshot/190945CZ_RGB.png"/>
    <hyperlink ref="D909" r:id="rId908" display="https://us.pandora.net/on/demandware.static/-/Sites-pandora-master-catalog/default/dwbb259ca6/productimages/singlepackshot/190945CZ_RGB.png"/>
    <hyperlink ref="D910" r:id="rId909" display="https://us.pandora.net/on/demandware.static/-/Sites-pandora-master-catalog/default/dwbb259ca6/productimages/singlepackshot/190945CZ_RGB.png"/>
    <hyperlink ref="D911" r:id="rId910" display="https://us.pandora.net/on/demandware.static/-/Sites-pandora-master-catalog/default/dwbb259ca6/productimages/singlepackshot/190945CZ_RGB.png"/>
    <hyperlink ref="D912" r:id="rId911" display="https://us.pandora.net/on/demandware.static/-/Sites-pandora-master-catalog/default/dwbb259ca6/productimages/singlepackshot/190945CZ_RGB.png"/>
    <hyperlink ref="D913" r:id="rId912" display="https://us.pandora.net/on/demandware.static/-/Sites-pandora-master-catalog/default/dwbb259ca6/productimages/singlepackshot/190945CZ_RGB.png"/>
    <hyperlink ref="D914" r:id="rId913" display="https://us.pandora.net/on/demandware.static/-/Sites-pandora-master-catalog/default/dwbb259ca6/productimages/singlepackshot/190945CZ_RGB.png"/>
    <hyperlink ref="D915" r:id="rId914" display="https://us.pandora.net/on/demandware.static/-/Sites-pandora-master-catalog/default/dwbb259ca6/productimages/singlepackshot/190963CZ_RGB.png"/>
    <hyperlink ref="D916" r:id="rId915" display="https://us.pandora.net/on/demandware.static/-/Sites-pandora-master-catalog/default/dwbb259ca6/productimages/singlepackshot/190963CZ_RGB.png"/>
    <hyperlink ref="D917" r:id="rId916" display="https://us.pandora.net/on/demandware.static/-/Sites-pandora-master-catalog/default/dwbb259ca6/productimages/singlepackshot/190963CZ_RGB.png"/>
    <hyperlink ref="D918" r:id="rId917" display="https://us.pandora.net/on/demandware.static/-/Sites-pandora-master-catalog/default/dwbb259ca6/productimages/singlepackshot/190963CZ_RGB.png"/>
    <hyperlink ref="D919" r:id="rId918" display="https://us.pandora.net/on/demandware.static/-/Sites-pandora-master-catalog/default/dwbb259ca6/productimages/singlepackshot/190963CZ_RGB.png"/>
    <hyperlink ref="D920" r:id="rId919" display="https://us.pandora.net/on/demandware.static/-/Sites-pandora-master-catalog/default/dwbb259ca6/productimages/singlepackshot/190963CZ_RGB.png"/>
    <hyperlink ref="D921" r:id="rId920" display="https://us.pandora.net/on/demandware.static/-/Sites-pandora-master-catalog/default/dwbb259ca6/productimages/singlepackshot/190963CZ_RGB.png"/>
    <hyperlink ref="D922" r:id="rId921" display="https://us.pandora.net/on/demandware.static/-/Sites-pandora-master-catalog/default/dwbb259ca6/productimages/singlepackshot/190980_RGB.png"/>
    <hyperlink ref="D923" r:id="rId922" display="https://us.pandora.net/on/demandware.static/-/Sites-pandora-master-catalog/default/dwbb259ca6/productimages/singlepackshot/190980_RGB.png"/>
    <hyperlink ref="D924" r:id="rId923" display="https://us.pandora.net/on/demandware.static/-/Sites-pandora-master-catalog/default/dwbb259ca6/productimages/singlepackshot/190980_RGB.png"/>
    <hyperlink ref="D925" r:id="rId924" display="https://us.pandora.net/on/demandware.static/-/Sites-pandora-master-catalog/default/dwbb259ca6/productimages/singlepackshot/190980_RGB.png"/>
    <hyperlink ref="D926" r:id="rId925" display="https://us.pandora.net/on/demandware.static/-/Sites-pandora-master-catalog/default/dwbb259ca6/productimages/singlepackshot/190980_RGB.png"/>
    <hyperlink ref="D927" r:id="rId926" display="https://us.pandora.net/on/demandware.static/-/Sites-pandora-master-catalog/default/dwbb259ca6/productimages/singlepackshot/190980_RGB.png"/>
    <hyperlink ref="D928" r:id="rId927" display="https://us.pandora.net/on/demandware.static/-/Sites-pandora-master-catalog/default/dwbb259ca6/productimages/singlepackshot/190980_RGB.png"/>
    <hyperlink ref="D929" r:id="rId928" display="https://us.pandora.net/on/demandware.static/-/Sites-pandora-master-catalog/default/dwbb259ca6/productimages/singlepackshot/191023CZ_RGB.png"/>
    <hyperlink ref="D930" r:id="rId929" display="https://us.pandora.net/on/demandware.static/-/Sites-pandora-master-catalog/default/dwbb259ca6/productimages/singlepackshot/191023CZ_RGB.png"/>
    <hyperlink ref="D931" r:id="rId930" display="https://us.pandora.net/on/demandware.static/-/Sites-pandora-master-catalog/default/dwbb259ca6/productimages/singlepackshot/191023CZ_RGB.png"/>
    <hyperlink ref="D932" r:id="rId931" display="https://us.pandora.net/on/demandware.static/-/Sites-pandora-master-catalog/default/dwbb259ca6/productimages/singlepackshot/191023CZ_RGB.png"/>
    <hyperlink ref="D933" r:id="rId932" display="https://us.pandora.net/on/demandware.static/-/Sites-pandora-master-catalog/default/dwbb259ca6/productimages/singlepackshot/191023CZ_RGB.png"/>
    <hyperlink ref="D934" r:id="rId933" display="https://us.pandora.net/on/demandware.static/-/Sites-pandora-master-catalog/default/dwbb259ca6/productimages/singlepackshot/191023CZ_RGB.png"/>
    <hyperlink ref="D935" r:id="rId934" display="https://us.pandora.net/on/demandware.static/-/Sites-pandora-master-catalog/default/dwbb259ca6/productimages/singlepackshot/191023CZ_RGB.png"/>
    <hyperlink ref="D936" r:id="rId935" display="https://us.pandora.net/on/demandware.static/-/Sites-pandora-master-catalog/default/dwbb259ca6/productimages/singlepackshot/191149C01_RGB.png"/>
    <hyperlink ref="D937" r:id="rId936" display="https://us.pandora.net/on/demandware.static/-/Sites-pandora-master-catalog/default/dwbb259ca6/productimages/singlepackshot/191149C01_RGB.png"/>
    <hyperlink ref="D938" r:id="rId937" display="https://us.pandora.net/on/demandware.static/-/Sites-pandora-master-catalog/default/dwbb259ca6/productimages/singlepackshot/191149C01_RGB.png"/>
    <hyperlink ref="D939" r:id="rId938" display="https://us.pandora.net/on/demandware.static/-/Sites-pandora-master-catalog/default/dwbb259ca6/productimages/singlepackshot/191149C01_RGB.png"/>
    <hyperlink ref="D940" r:id="rId939" display="https://us.pandora.net/on/demandware.static/-/Sites-pandora-master-catalog/default/dwbb259ca6/productimages/singlepackshot/191149C01_RGB.png"/>
    <hyperlink ref="D941" r:id="rId940" display="https://us.pandora.net/on/demandware.static/-/Sites-pandora-master-catalog/default/dwbb259ca6/productimages/singlepackshot/191149C01_RGB.png"/>
    <hyperlink ref="D942" r:id="rId941" display="https://us.pandora.net/on/demandware.static/-/Sites-pandora-master-catalog/default/dwbb259ca6/productimages/singlepackshot/191149C01_RGB.png"/>
    <hyperlink ref="D943" r:id="rId942" display="https://us.pandora.net/on/demandware.static/-/Sites-pandora-master-catalog/default/dwbb259ca6/productimages/singlepackshot/191165C01_RGB.png"/>
    <hyperlink ref="D944" r:id="rId943" display="https://us.pandora.net/on/demandware.static/-/Sites-pandora-master-catalog/default/dwbb259ca6/productimages/singlepackshot/191165C01_RGB.png"/>
    <hyperlink ref="D945" r:id="rId944" display="https://us.pandora.net/on/demandware.static/-/Sites-pandora-master-catalog/default/dwbb259ca6/productimages/singlepackshot/191165C01_RGB.png"/>
    <hyperlink ref="D946" r:id="rId945" display="https://us.pandora.net/on/demandware.static/-/Sites-pandora-master-catalog/default/dwbb259ca6/productimages/singlepackshot/191165C01_RGB.png"/>
    <hyperlink ref="D947" r:id="rId946" display="https://us.pandora.net/on/demandware.static/-/Sites-pandora-master-catalog/default/dwbb259ca6/productimages/singlepackshot/191165C01_RGB.png"/>
    <hyperlink ref="D948" r:id="rId947" display="https://us.pandora.net/on/demandware.static/-/Sites-pandora-master-catalog/default/dwbb259ca6/productimages/singlepackshot/191165C01_RGB.png"/>
    <hyperlink ref="D949" r:id="rId948" display="https://us.pandora.net/on/demandware.static/-/Sites-pandora-master-catalog/default/dwbb259ca6/productimages/singlepackshot/191165C01_RGB.png"/>
    <hyperlink ref="D950" r:id="rId949" display="https://us.pandora.net/on/demandware.static/-/Sites-pandora-master-catalog/default/dwbb259ca6/productimages/singlepackshot/191198C01_RGB.png"/>
    <hyperlink ref="D951" r:id="rId950" display="https://us.pandora.net/on/demandware.static/-/Sites-pandora-master-catalog/default/dwbb259ca6/productimages/singlepackshot/191198C01_RGB.png"/>
    <hyperlink ref="D952" r:id="rId951" display="https://us.pandora.net/on/demandware.static/-/Sites-pandora-master-catalog/default/dwbb259ca6/productimages/singlepackshot/191198C01_RGB.png"/>
    <hyperlink ref="D953" r:id="rId952" display="https://us.pandora.net/on/demandware.static/-/Sites-pandora-master-catalog/default/dwbb259ca6/productimages/singlepackshot/191198C01_RGB.png"/>
    <hyperlink ref="D954" r:id="rId953" display="https://us.pandora.net/on/demandware.static/-/Sites-pandora-master-catalog/default/dwbb259ca6/productimages/singlepackshot/191198C01_RGB.png"/>
    <hyperlink ref="D955" r:id="rId954" display="https://us.pandora.net/on/demandware.static/-/Sites-pandora-master-catalog/default/dwbb259ca6/productimages/singlepackshot/191198C01_RGB.png"/>
    <hyperlink ref="D956" r:id="rId955" display="https://us.pandora.net/on/demandware.static/-/Sites-pandora-master-catalog/default/dwbb259ca6/productimages/singlepackshot/191198C01_RGB.png"/>
    <hyperlink ref="D957" r:id="rId956" display="https://us.pandora.net/on/demandware.static/-/Sites-pandora-master-catalog/default/dwbb259ca6/productimages/singlepackshot/191198C01_RGB.png"/>
    <hyperlink ref="D958" r:id="rId957" display="https://us.pandora.net/on/demandware.static/-/Sites-pandora-master-catalog/default/dwbb259ca6/productimages/singlepackshot/191198C01_RGB.png"/>
    <hyperlink ref="D959" r:id="rId958" display="https://us.pandora.net/on/demandware.static/-/Sites-pandora-master-catalog/default/dwbb259ca6/productimages/singlepackshot/191198C01_RGB.png"/>
    <hyperlink ref="D960" r:id="rId959" display="https://us.pandora.net/on/demandware.static/-/Sites-pandora-master-catalog/default/dwbb259ca6/productimages/singlepackshot/191198C01_RGB.png"/>
    <hyperlink ref="D961" r:id="rId960" display="https://us.pandora.net/on/demandware.static/-/Sites-pandora-master-catalog/default/dwbb259ca6/productimages/singlepackshot/192232C01_RGB.png"/>
    <hyperlink ref="D962" r:id="rId961" display="https://us.pandora.net/on/demandware.static/-/Sites-pandora-master-catalog/default/dwbb259ca6/productimages/singlepackshot/192232C01_RGB.png"/>
    <hyperlink ref="D963" r:id="rId962" display="https://us.pandora.net/on/demandware.static/-/Sites-pandora-master-catalog/default/dwbb259ca6/productimages/singlepackshot/192232C01_RGB.png"/>
    <hyperlink ref="D964" r:id="rId963" display="https://us.pandora.net/on/demandware.static/-/Sites-pandora-master-catalog/default/dwbb259ca6/productimages/singlepackshot/192232C01_RGB.png"/>
    <hyperlink ref="D965" r:id="rId964" display="https://us.pandora.net/on/demandware.static/-/Sites-pandora-master-catalog/default/dwbb259ca6/productimages/singlepackshot/192232C01_RGB.png"/>
    <hyperlink ref="D966" r:id="rId965" display="https://us.pandora.net/on/demandware.static/-/Sites-pandora-master-catalog/default/dwbb259ca6/productimages/singlepackshot/192232C01_RGB.png"/>
    <hyperlink ref="D967" r:id="rId966" display="https://us.pandora.net/on/demandware.static/-/Sites-pandora-master-catalog/default/dwbb259ca6/productimages/singlepackshot/192232C01_RGB.png"/>
    <hyperlink ref="D968" r:id="rId967" display="https://us.pandora.net/on/demandware.static/-/Sites-pandora-master-catalog/default/dwbb259ca6/productimages/singlepackshot/192233C01_RGB.png"/>
    <hyperlink ref="D969" r:id="rId968" display="https://us.pandora.net/on/demandware.static/-/Sites-pandora-master-catalog/default/dwbb259ca6/productimages/singlepackshot/192233C01_RGB.png"/>
    <hyperlink ref="D970" r:id="rId969" display="https://us.pandora.net/on/demandware.static/-/Sites-pandora-master-catalog/default/dwbb259ca6/productimages/singlepackshot/192233C01_RGB.png"/>
    <hyperlink ref="D971" r:id="rId970" display="https://us.pandora.net/on/demandware.static/-/Sites-pandora-master-catalog/default/dwbb259ca6/productimages/singlepackshot/192233C01_RGB.png"/>
    <hyperlink ref="D972" r:id="rId971" display="https://us.pandora.net/on/demandware.static/-/Sites-pandora-master-catalog/default/dwbb259ca6/productimages/singlepackshot/192233C01_RGB.png"/>
    <hyperlink ref="D973" r:id="rId972" display="https://us.pandora.net/on/demandware.static/-/Sites-pandora-master-catalog/default/dwbb259ca6/productimages/singlepackshot/192233C01_RGB.png"/>
    <hyperlink ref="D974" r:id="rId973" display="https://us.pandora.net/on/demandware.static/-/Sites-pandora-master-catalog/default/dwbb259ca6/productimages/singlepackshot/192233C01_RGB.png"/>
    <hyperlink ref="D975" r:id="rId974" display="https://us.pandora.net/on/demandware.static/-/Sites-pandora-master-catalog/default/dwbb259ca6/productimages/singlepackshot/192312C01_RGB.png"/>
    <hyperlink ref="D976" r:id="rId975" display="https://us.pandora.net/on/demandware.static/-/Sites-pandora-master-catalog/default/dwbb259ca6/productimages/singlepackshot/192312C01_RGB.png"/>
    <hyperlink ref="D977" r:id="rId976" display="https://us.pandora.net/on/demandware.static/-/Sites-pandora-master-catalog/default/dwbb259ca6/productimages/singlepackshot/192312C01_RGB.png"/>
    <hyperlink ref="D978" r:id="rId977" display="https://us.pandora.net/on/demandware.static/-/Sites-pandora-master-catalog/default/dwbb259ca6/productimages/singlepackshot/192312C01_RGB.png"/>
    <hyperlink ref="D979" r:id="rId978" display="https://us.pandora.net/on/demandware.static/-/Sites-pandora-master-catalog/default/dwbb259ca6/productimages/singlepackshot/192312C01_RGB.png"/>
    <hyperlink ref="D980" r:id="rId979" display="https://us.pandora.net/on/demandware.static/-/Sites-pandora-master-catalog/default/dwbb259ca6/productimages/singlepackshot/192312C01_RGB.png"/>
    <hyperlink ref="D981" r:id="rId980" display="https://us.pandora.net/on/demandware.static/-/Sites-pandora-master-catalog/default/dwbb259ca6/productimages/singlepackshot/192312C01_RGB.png"/>
    <hyperlink ref="D982" r:id="rId981" display="https://us.pandora.net/on/demandware.static/-/Sites-pandora-master-catalog/default/dwbb259ca6/productimages/singlepackshot/192344C01_RGB.png"/>
    <hyperlink ref="D983" r:id="rId982" display="https://us.pandora.net/on/demandware.static/-/Sites-pandora-master-catalog/default/dwbb259ca6/productimages/singlepackshot/192344C01_RGB.png"/>
    <hyperlink ref="D984" r:id="rId983" display="https://us.pandora.net/on/demandware.static/-/Sites-pandora-master-catalog/default/dwbb259ca6/productimages/singlepackshot/192344C01_RGB.png"/>
    <hyperlink ref="D985" r:id="rId984" display="https://us.pandora.net/on/demandware.static/-/Sites-pandora-master-catalog/default/dwbb259ca6/productimages/singlepackshot/192344C01_RGB.png"/>
    <hyperlink ref="D986" r:id="rId985" display="https://us.pandora.net/on/demandware.static/-/Sites-pandora-master-catalog/default/dwbb259ca6/productimages/singlepackshot/192344C01_RGB.png"/>
    <hyperlink ref="D987" r:id="rId986" display="https://us.pandora.net/on/demandware.static/-/Sites-pandora-master-catalog/default/dwbb259ca6/productimages/singlepackshot/192344C01_RGB.png"/>
    <hyperlink ref="D988" r:id="rId987" display="https://us.pandora.net/on/demandware.static/-/Sites-pandora-master-catalog/default/dwbb259ca6/productimages/singlepackshot/192344C01_RGB.png"/>
    <hyperlink ref="D989" r:id="rId988" display="https://us.pandora.net/on/demandware.static/-/Sites-pandora-master-catalog/default/dwbb259ca6/productimages/singlepackshot/192365C01_RGB.png"/>
    <hyperlink ref="D990" r:id="rId989" display="https://us.pandora.net/on/demandware.static/-/Sites-pandora-master-catalog/default/dwbb259ca6/productimages/singlepackshot/192365C01_RGB.png"/>
    <hyperlink ref="D991" r:id="rId990" display="https://us.pandora.net/on/demandware.static/-/Sites-pandora-master-catalog/default/dwbb259ca6/productimages/singlepackshot/192365C01_RGB.png"/>
    <hyperlink ref="D992" r:id="rId991" display="https://us.pandora.net/on/demandware.static/-/Sites-pandora-master-catalog/default/dwbb259ca6/productimages/singlepackshot/192365C01_RGB.png"/>
    <hyperlink ref="D993" r:id="rId992" display="https://us.pandora.net/on/demandware.static/-/Sites-pandora-master-catalog/default/dwbb259ca6/productimages/singlepackshot/192365C01_RGB.png"/>
    <hyperlink ref="D994" r:id="rId993" display="https://us.pandora.net/on/demandware.static/-/Sites-pandora-master-catalog/default/dwbb259ca6/productimages/singlepackshot/192365C01_RGB.png"/>
    <hyperlink ref="D995" r:id="rId994" display="https://us.pandora.net/on/demandware.static/-/Sites-pandora-master-catalog/default/dwbb259ca6/productimages/singlepackshot/192365C01_RGB.png"/>
    <hyperlink ref="D996" r:id="rId995" display="https://us.pandora.net/on/demandware.static/-/Sites-pandora-master-catalog/default/dwbb259ca6/productimages/singlepackshot/192389C01_RGB.png"/>
    <hyperlink ref="D997" r:id="rId996" display="https://us.pandora.net/on/demandware.static/-/Sites-pandora-master-catalog/default/dwbb259ca6/productimages/singlepackshot/192389C01_RGB.png"/>
    <hyperlink ref="D998" r:id="rId997" display="https://us.pandora.net/on/demandware.static/-/Sites-pandora-master-catalog/default/dwbb259ca6/productimages/singlepackshot/192389C01_RGB.png"/>
    <hyperlink ref="D999" r:id="rId998" display="https://us.pandora.net/on/demandware.static/-/Sites-pandora-master-catalog/default/dwbb259ca6/productimages/singlepackshot/192389C01_RGB.png"/>
    <hyperlink ref="D1000" r:id="rId999" display="https://us.pandora.net/on/demandware.static/-/Sites-pandora-master-catalog/default/dwbb259ca6/productimages/singlepackshot/192389C01_RGB.png"/>
    <hyperlink ref="D1001" r:id="rId1000" display="https://us.pandora.net/on/demandware.static/-/Sites-pandora-master-catalog/default/dwbb259ca6/productimages/singlepackshot/192389C01_RGB.png"/>
    <hyperlink ref="D1002" r:id="rId1001" display="https://us.pandora.net/on/demandware.static/-/Sites-pandora-master-catalog/default/dwbb259ca6/productimages/singlepackshot/192389C01_RGB.png"/>
    <hyperlink ref="D1003" r:id="rId1002" display="https://us.pandora.net/on/demandware.static/-/Sites-pandora-master-catalog/default/dwbb259ca6/productimages/singlepackshot/192390C01_RGB.png"/>
    <hyperlink ref="D1004" r:id="rId1003" display="https://us.pandora.net/on/demandware.static/-/Sites-pandora-master-catalog/default/dwbb259ca6/productimages/singlepackshot/192390C01_RGB.png"/>
    <hyperlink ref="D1005" r:id="rId1004" display="https://us.pandora.net/on/demandware.static/-/Sites-pandora-master-catalog/default/dwbb259ca6/productimages/singlepackshot/192390C01_RGB.png"/>
    <hyperlink ref="D1006" r:id="rId1005" display="https://us.pandora.net/on/demandware.static/-/Sites-pandora-master-catalog/default/dwbb259ca6/productimages/singlepackshot/192390C01_RGB.png"/>
    <hyperlink ref="D1007" r:id="rId1006" display="https://us.pandora.net/on/demandware.static/-/Sites-pandora-master-catalog/default/dwbb259ca6/productimages/singlepackshot/192390C01_RGB.png"/>
    <hyperlink ref="D1008" r:id="rId1007" display="https://us.pandora.net/on/demandware.static/-/Sites-pandora-master-catalog/default/dwbb259ca6/productimages/singlepackshot/192390C01_RGB.png"/>
    <hyperlink ref="D1009" r:id="rId1008" display="https://us.pandora.net/on/demandware.static/-/Sites-pandora-master-catalog/default/dwbb259ca6/productimages/singlepackshot/192390C01_RGB.png"/>
    <hyperlink ref="D1010" r:id="rId1009" display="https://us.pandora.net/on/demandware.static/-/Sites-pandora-master-catalog/default/dwbb259ca6/productimages/singlepackshot/192391C01_RGB.png"/>
    <hyperlink ref="D1011" r:id="rId1010" display="https://us.pandora.net/on/demandware.static/-/Sites-pandora-master-catalog/default/dwbb259ca6/productimages/singlepackshot/192391C01_RGB.png"/>
    <hyperlink ref="D1012" r:id="rId1011" display="https://us.pandora.net/on/demandware.static/-/Sites-pandora-master-catalog/default/dwbb259ca6/productimages/singlepackshot/192391C01_RGB.png"/>
    <hyperlink ref="D1013" r:id="rId1012" display="https://us.pandora.net/on/demandware.static/-/Sites-pandora-master-catalog/default/dwbb259ca6/productimages/singlepackshot/192391C01_RGB.png"/>
    <hyperlink ref="D1014" r:id="rId1013" display="https://us.pandora.net/on/demandware.static/-/Sites-pandora-master-catalog/default/dwbb259ca6/productimages/singlepackshot/192391C01_RGB.png"/>
    <hyperlink ref="D1015" r:id="rId1014" display="https://us.pandora.net/on/demandware.static/-/Sites-pandora-master-catalog/default/dwbb259ca6/productimages/singlepackshot/192391C01_RGB.png"/>
    <hyperlink ref="D1016" r:id="rId1015" display="https://us.pandora.net/on/demandware.static/-/Sites-pandora-master-catalog/default/dwbb259ca6/productimages/singlepackshot/192391C01_RGB.png"/>
    <hyperlink ref="D1017" r:id="rId1016" display="https://us.pandora.net/on/demandware.static/-/Sites-pandora-master-catalog/default/dwbb259ca6/productimages/singlepackshot/192392C01_RGB.png"/>
    <hyperlink ref="D1018" r:id="rId1017" display="https://us.pandora.net/on/demandware.static/-/Sites-pandora-master-catalog/default/dwbb259ca6/productimages/singlepackshot/192392C01_RGB.png"/>
    <hyperlink ref="D1019" r:id="rId1018" display="https://us.pandora.net/on/demandware.static/-/Sites-pandora-master-catalog/default/dwbb259ca6/productimages/singlepackshot/192392C01_RGB.png"/>
    <hyperlink ref="D1020" r:id="rId1019" display="https://us.pandora.net/on/demandware.static/-/Sites-pandora-master-catalog/default/dwbb259ca6/productimages/singlepackshot/192392C01_RGB.png"/>
    <hyperlink ref="D1021" r:id="rId1020" display="https://us.pandora.net/on/demandware.static/-/Sites-pandora-master-catalog/default/dwbb259ca6/productimages/singlepackshot/192392C01_RGB.png"/>
    <hyperlink ref="D1022" r:id="rId1021" display="https://us.pandora.net/on/demandware.static/-/Sites-pandora-master-catalog/default/dwbb259ca6/productimages/singlepackshot/192392C01_RGB.png"/>
    <hyperlink ref="D1023" r:id="rId1022" display="https://us.pandora.net/on/demandware.static/-/Sites-pandora-master-catalog/default/dwbb259ca6/productimages/singlepackshot/192392C01_RGB.png"/>
    <hyperlink ref="D1024" r:id="rId1023" display="https://us.pandora.net/on/demandware.static/-/Sites-pandora-master-catalog/default/dwbb259ca6/productimages/singlepackshot/192394C01_RGB.png"/>
    <hyperlink ref="D1025" r:id="rId1024" display="https://us.pandora.net/on/demandware.static/-/Sites-pandora-master-catalog/default/dwbb259ca6/productimages/singlepackshot/192394C01_RGB.png"/>
    <hyperlink ref="D1026" r:id="rId1025" display="https://us.pandora.net/on/demandware.static/-/Sites-pandora-master-catalog/default/dwbb259ca6/productimages/singlepackshot/192394C01_RGB.png"/>
    <hyperlink ref="D1027" r:id="rId1026" display="https://us.pandora.net/on/demandware.static/-/Sites-pandora-master-catalog/default/dwbb259ca6/productimages/singlepackshot/192394C01_RGB.png"/>
    <hyperlink ref="D1028" r:id="rId1027" display="https://us.pandora.net/on/demandware.static/-/Sites-pandora-master-catalog/default/dwbb259ca6/productimages/singlepackshot/192394C01_RGB.png"/>
    <hyperlink ref="D1029" r:id="rId1028" display="https://us.pandora.net/on/demandware.static/-/Sites-pandora-master-catalog/default/dwbb259ca6/productimages/singlepackshot/192394C01_RGB.png"/>
    <hyperlink ref="D1030" r:id="rId1029" display="https://us.pandora.net/on/demandware.static/-/Sites-pandora-master-catalog/default/dwbb259ca6/productimages/singlepackshot/192394C01_RGB.png"/>
    <hyperlink ref="D1031" r:id="rId1030" display="https://us.pandora.net/on/demandware.static/-/Sites-pandora-master-catalog/default/dwbb259ca6/productimages/singlepackshot/192528C02_RGB.png"/>
    <hyperlink ref="D1032" r:id="rId1031" display="https://us.pandora.net/on/demandware.static/-/Sites-pandora-master-catalog/default/dwbb259ca6/productimages/singlepackshot/192528C02_RGB.png"/>
    <hyperlink ref="D1033" r:id="rId1032" display="https://us.pandora.net/on/demandware.static/-/Sites-pandora-master-catalog/default/dwbb259ca6/productimages/singlepackshot/192528C02_RGB.png"/>
    <hyperlink ref="D1034" r:id="rId1033" display="https://us.pandora.net/on/demandware.static/-/Sites-pandora-master-catalog/default/dwbb259ca6/productimages/singlepackshot/192528C02_RGB.png"/>
    <hyperlink ref="D1035" r:id="rId1034" display="https://us.pandora.net/on/demandware.static/-/Sites-pandora-master-catalog/default/dwbb259ca6/productimages/singlepackshot/192528C02_RGB.png"/>
    <hyperlink ref="D1036" r:id="rId1035" display="https://us.pandora.net/on/demandware.static/-/Sites-pandora-master-catalog/default/dwbb259ca6/productimages/singlepackshot/192528C02_RGB.png"/>
    <hyperlink ref="D1037" r:id="rId1036" display="https://us.pandora.net/on/demandware.static/-/Sites-pandora-master-catalog/default/dwbb259ca6/productimages/singlepackshot/192528C02_RGB.png"/>
    <hyperlink ref="D1038" r:id="rId1037" display="https://us.pandora.net/on/demandware.static/-/Sites-pandora-master-catalog/default/dwbb259ca6/productimages/singlepackshot/192528C02_RGB.png"/>
    <hyperlink ref="D1039" r:id="rId1038" display="https://us.pandora.net/on/demandware.static/-/Sites-pandora-master-catalog/default/dwbb259ca6/productimages/singlepackshot/192539C01_RGB.png"/>
    <hyperlink ref="D1040" r:id="rId1039" display="https://us.pandora.net/on/demandware.static/-/Sites-pandora-master-catalog/default/dwbb259ca6/productimages/singlepackshot/192539C01_RGB.png"/>
    <hyperlink ref="D1041" r:id="rId1040" display="https://us.pandora.net/on/demandware.static/-/Sites-pandora-master-catalog/default/dwbb259ca6/productimages/singlepackshot/192539C01_RGB.png"/>
    <hyperlink ref="D1042" r:id="rId1041" display="https://us.pandora.net/on/demandware.static/-/Sites-pandora-master-catalog/default/dwbb259ca6/productimages/singlepackshot/192539C01_RGB.png"/>
    <hyperlink ref="D1043" r:id="rId1042" display="https://us.pandora.net/on/demandware.static/-/Sites-pandora-master-catalog/default/dwbb259ca6/productimages/singlepackshot/192539C01_RGB.png"/>
    <hyperlink ref="D1044" r:id="rId1043" display="https://us.pandora.net/on/demandware.static/-/Sites-pandora-master-catalog/default/dwbb259ca6/productimages/singlepackshot/192539C01_RGB.png"/>
    <hyperlink ref="D1045" r:id="rId1044" display="https://us.pandora.net/on/demandware.static/-/Sites-pandora-master-catalog/default/dwbb259ca6/productimages/singlepackshot/192539C01_RGB.png"/>
    <hyperlink ref="D1046" r:id="rId1045" display="https://us.pandora.net/on/demandware.static/-/Sites-pandora-master-catalog/default/dwbb259ca6/productimages/singlepackshot/192566C01_RGB.png"/>
    <hyperlink ref="D1047" r:id="rId1046" display="https://us.pandora.net/on/demandware.static/-/Sites-pandora-master-catalog/default/dwbb259ca6/productimages/singlepackshot/192566C01_RGB.png"/>
    <hyperlink ref="D1048" r:id="rId1047" display="https://us.pandora.net/on/demandware.static/-/Sites-pandora-master-catalog/default/dwbb259ca6/productimages/singlepackshot/192566C01_RGB.png"/>
    <hyperlink ref="D1049" r:id="rId1048" display="https://us.pandora.net/on/demandware.static/-/Sites-pandora-master-catalog/default/dwbb259ca6/productimages/singlepackshot/192566C01_RGB.png"/>
    <hyperlink ref="D1050" r:id="rId1049" display="https://us.pandora.net/on/demandware.static/-/Sites-pandora-master-catalog/default/dwbb259ca6/productimages/singlepackshot/192566C01_RGB.png"/>
    <hyperlink ref="D1051" r:id="rId1050" display="https://us.pandora.net/on/demandware.static/-/Sites-pandora-master-catalog/default/dwbb259ca6/productimages/singlepackshot/192566C01_RGB.png"/>
    <hyperlink ref="D1052" r:id="rId1051" display="https://us.pandora.net/on/demandware.static/-/Sites-pandora-master-catalog/default/dwbb259ca6/productimages/singlepackshot/192566C01_RGB.png"/>
    <hyperlink ref="D1053" r:id="rId1052" display="https://us.pandora.net/on/demandware.static/-/Sites-pandora-master-catalog/default/dwbb259ca6/productimages/singlepackshot/192611C01_RGB.png"/>
    <hyperlink ref="D1054" r:id="rId1053" display="https://us.pandora.net/on/demandware.static/-/Sites-pandora-master-catalog/default/dwbb259ca6/productimages/singlepackshot/192611C01_RGB.png"/>
    <hyperlink ref="D1055" r:id="rId1054" display="https://us.pandora.net/on/demandware.static/-/Sites-pandora-master-catalog/default/dwbb259ca6/productimages/singlepackshot/192611C01_RGB.png"/>
    <hyperlink ref="D1056" r:id="rId1055" display="https://us.pandora.net/on/demandware.static/-/Sites-pandora-master-catalog/default/dwbb259ca6/productimages/singlepackshot/192611C01_RGB.png"/>
    <hyperlink ref="D1057" r:id="rId1056" display="https://us.pandora.net/on/demandware.static/-/Sites-pandora-master-catalog/default/dwbb259ca6/productimages/singlepackshot/192611C01_RGB.png"/>
    <hyperlink ref="D1058" r:id="rId1057" display="https://us.pandora.net/on/demandware.static/-/Sites-pandora-master-catalog/default/dwbb259ca6/productimages/singlepackshot/192611C01_RGB.png"/>
    <hyperlink ref="D1059" r:id="rId1058" display="https://us.pandora.net/on/demandware.static/-/Sites-pandora-master-catalog/default/dwbb259ca6/productimages/singlepackshot/192611C01_RGB.png"/>
    <hyperlink ref="D1060" r:id="rId1059" display="https://us.pandora.net/on/demandware.static/-/Sites-pandora-master-catalog/default/dwbb259ca6/productimages/singlepackshot/192627C01_RGB.png"/>
    <hyperlink ref="D1061" r:id="rId1060" display="https://us.pandora.net/on/demandware.static/-/Sites-pandora-master-catalog/default/dwbb259ca6/productimages/singlepackshot/192627C01_RGB.png"/>
    <hyperlink ref="D1062" r:id="rId1061" display="https://us.pandora.net/on/demandware.static/-/Sites-pandora-master-catalog/default/dwbb259ca6/productimages/singlepackshot/192627C01_RGB.png"/>
    <hyperlink ref="D1063" r:id="rId1062" display="https://us.pandora.net/on/demandware.static/-/Sites-pandora-master-catalog/default/dwbb259ca6/productimages/singlepackshot/192627C01_RGB.png"/>
    <hyperlink ref="D1064" r:id="rId1063" display="https://us.pandora.net/on/demandware.static/-/Sites-pandora-master-catalog/default/dwbb259ca6/productimages/singlepackshot/192627C01_RGB.png"/>
    <hyperlink ref="D1065" r:id="rId1064" display="https://us.pandora.net/on/demandware.static/-/Sites-pandora-master-catalog/default/dwbb259ca6/productimages/singlepackshot/192627C01_RGB.png"/>
    <hyperlink ref="D1066" r:id="rId1065" display="https://us.pandora.net/on/demandware.static/-/Sites-pandora-master-catalog/default/dwbb259ca6/productimages/singlepackshot/192627C01_RGB.png"/>
    <hyperlink ref="D1067" r:id="rId1066" display="https://us.pandora.net/on/demandware.static/-/Sites-pandora-master-catalog/default/dwbb259ca6/productimages/singlepackshot/192634C01_RGB.png"/>
    <hyperlink ref="D1068" r:id="rId1067" display="https://us.pandora.net/on/demandware.static/-/Sites-pandora-master-catalog/default/dwbb259ca6/productimages/singlepackshot/192634C01_RGB.png"/>
    <hyperlink ref="D1069" r:id="rId1068" display="https://us.pandora.net/on/demandware.static/-/Sites-pandora-master-catalog/default/dwbb259ca6/productimages/singlepackshot/192634C01_RGB.png"/>
    <hyperlink ref="D1070" r:id="rId1069" display="https://us.pandora.net/on/demandware.static/-/Sites-pandora-master-catalog/default/dwbb259ca6/productimages/singlepackshot/192634C01_RGB.png"/>
    <hyperlink ref="D1071" r:id="rId1070" display="https://us.pandora.net/on/demandware.static/-/Sites-pandora-master-catalog/default/dwbb259ca6/productimages/singlepackshot/192634C01_RGB.png"/>
    <hyperlink ref="D1072" r:id="rId1071" display="https://us.pandora.net/on/demandware.static/-/Sites-pandora-master-catalog/default/dwbb259ca6/productimages/singlepackshot/192634C01_RGB.png"/>
    <hyperlink ref="D1073" r:id="rId1072" display="https://us.pandora.net/on/demandware.static/-/Sites-pandora-master-catalog/default/dwbb259ca6/productimages/singlepackshot/192634C01_RGB.png"/>
    <hyperlink ref="D1074" r:id="rId1073" display="https://us.pandora.net/on/demandware.static/-/Sites-pandora-master-catalog/default/dwbb259ca6/productimages/singlepackshot/192675C01_RGB.png"/>
    <hyperlink ref="D1075" r:id="rId1074" display="https://us.pandora.net/on/demandware.static/-/Sites-pandora-master-catalog/default/dwbb259ca6/productimages/singlepackshot/192675C01_RGB.png"/>
    <hyperlink ref="D1076" r:id="rId1075" display="https://us.pandora.net/on/demandware.static/-/Sites-pandora-master-catalog/default/dwbb259ca6/productimages/singlepackshot/192675C01_RGB.png"/>
    <hyperlink ref="D1077" r:id="rId1076" display="https://us.pandora.net/on/demandware.static/-/Sites-pandora-master-catalog/default/dwbb259ca6/productimages/singlepackshot/192675C01_RGB.png"/>
    <hyperlink ref="D1078" r:id="rId1077" display="https://us.pandora.net/on/demandware.static/-/Sites-pandora-master-catalog/default/dwbb259ca6/productimages/singlepackshot/192675C01_RGB.png"/>
    <hyperlink ref="D1079" r:id="rId1078" display="https://us.pandora.net/on/demandware.static/-/Sites-pandora-master-catalog/default/dwbb259ca6/productimages/singlepackshot/192675C01_RGB.png"/>
    <hyperlink ref="D1080" r:id="rId1079" display="https://us.pandora.net/on/demandware.static/-/Sites-pandora-master-catalog/default/dwbb259ca6/productimages/singlepackshot/192675C01_RGB.png"/>
    <hyperlink ref="D1081" r:id="rId1080" display="https://us.pandora.net/on/demandware.static/-/Sites-pandora-master-catalog/default/dwbb259ca6/productimages/singlepackshot/192800C01_RGB.png"/>
    <hyperlink ref="D1082" r:id="rId1081" display="https://us.pandora.net/on/demandware.static/-/Sites-pandora-master-catalog/default/dwbb259ca6/productimages/singlepackshot/192800C01_RGB.png"/>
    <hyperlink ref="D1083" r:id="rId1082" display="https://us.pandora.net/on/demandware.static/-/Sites-pandora-master-catalog/default/dwbb259ca6/productimages/singlepackshot/192800C01_RGB.png"/>
    <hyperlink ref="D1084" r:id="rId1083" display="https://us.pandora.net/on/demandware.static/-/Sites-pandora-master-catalog/default/dwbb259ca6/productimages/singlepackshot/192800C01_RGB.png"/>
    <hyperlink ref="D1085" r:id="rId1084" display="https://us.pandora.net/on/demandware.static/-/Sites-pandora-master-catalog/default/dwbb259ca6/productimages/singlepackshot/192800C01_RGB.png"/>
    <hyperlink ref="D1086" r:id="rId1085" display="https://us.pandora.net/on/demandware.static/-/Sites-pandora-master-catalog/default/dwbb259ca6/productimages/singlepackshot/192800C01_RGB.png"/>
    <hyperlink ref="D1087" r:id="rId1086" display="https://us.pandora.net/on/demandware.static/-/Sites-pandora-master-catalog/default/dwbb259ca6/productimages/singlepackshot/192800C01_RGB.png"/>
    <hyperlink ref="D1088" r:id="rId1087" display="https://us.pandora.net/on/demandware.static/-/Sites-pandora-master-catalog/default/dwbb259ca6/productimages/singlepackshot/192800C01_RGB.png"/>
    <hyperlink ref="D1089" r:id="rId1088" display="https://us.pandora.net/on/demandware.static/-/Sites-pandora-master-catalog/default/dwbb259ca6/productimages/singlepackshot/192835C01_RGB.png"/>
    <hyperlink ref="D1090" r:id="rId1089" display="https://us.pandora.net/on/demandware.static/-/Sites-pandora-master-catalog/default/dwbb259ca6/productimages/singlepackshot/192835C01_RGB.png"/>
    <hyperlink ref="D1091" r:id="rId1090" display="https://us.pandora.net/on/demandware.static/-/Sites-pandora-master-catalog/default/dwbb259ca6/productimages/singlepackshot/192835C01_RGB.png"/>
    <hyperlink ref="D1092" r:id="rId1091" display="https://us.pandora.net/on/demandware.static/-/Sites-pandora-master-catalog/default/dwbb259ca6/productimages/singlepackshot/192835C01_RGB.png"/>
    <hyperlink ref="D1093" r:id="rId1092" display="https://us.pandora.net/on/demandware.static/-/Sites-pandora-master-catalog/default/dwbb259ca6/productimages/singlepackshot/192835C01_RGB.png"/>
    <hyperlink ref="D1094" r:id="rId1093" display="https://us.pandora.net/on/demandware.static/-/Sites-pandora-master-catalog/default/dwbb259ca6/productimages/singlepackshot/192835C01_RGB.png"/>
    <hyperlink ref="D1095" r:id="rId1094" display="https://us.pandora.net/on/demandware.static/-/Sites-pandora-master-catalog/default/dwbb259ca6/productimages/singlepackshot/192835C01_RGB.png"/>
    <hyperlink ref="D1096" r:id="rId1095" display="https://us.pandora.net/on/demandware.static/-/Sites-pandora-master-catalog/default/dwbb259ca6/productimages/singlepackshot/192993C01_RGB.png"/>
    <hyperlink ref="D1097" r:id="rId1096" display="https://us.pandora.net/on/demandware.static/-/Sites-pandora-master-catalog/default/dwbb259ca6/productimages/singlepackshot/192993C01_RGB.png"/>
    <hyperlink ref="D1098" r:id="rId1097" display="https://us.pandora.net/on/demandware.static/-/Sites-pandora-master-catalog/default/dwbb259ca6/productimages/singlepackshot/192993C01_RGB.png"/>
    <hyperlink ref="D1099" r:id="rId1098" display="https://us.pandora.net/on/demandware.static/-/Sites-pandora-master-catalog/default/dwbb259ca6/productimages/singlepackshot/192993C01_RGB.png"/>
    <hyperlink ref="D1100" r:id="rId1099" display="https://us.pandora.net/on/demandware.static/-/Sites-pandora-master-catalog/default/dwbb259ca6/productimages/singlepackshot/192993C01_RGB.png"/>
    <hyperlink ref="D1101" r:id="rId1100" display="https://us.pandora.net/on/demandware.static/-/Sites-pandora-master-catalog/default/dwbb259ca6/productimages/singlepackshot/192993C01_RGB.png"/>
    <hyperlink ref="D1102" r:id="rId1101" display="https://us.pandora.net/on/demandware.static/-/Sites-pandora-master-catalog/default/dwbb259ca6/productimages/singlepackshot/192993C01_RGB.png"/>
    <hyperlink ref="D1103" r:id="rId1102" display="https://us.pandora.net/on/demandware.static/-/Sites-pandora-master-catalog/default/dwbb259ca6/productimages/singlepackshot/192993C03_RGB.png"/>
    <hyperlink ref="D1104" r:id="rId1103" display="https://us.pandora.net/on/demandware.static/-/Sites-pandora-master-catalog/default/dwbb259ca6/productimages/singlepackshot/192993C03_RGB.png"/>
    <hyperlink ref="D1105" r:id="rId1104" display="https://us.pandora.net/on/demandware.static/-/Sites-pandora-master-catalog/default/dwbb259ca6/productimages/singlepackshot/192993C03_RGB.png"/>
    <hyperlink ref="D1106" r:id="rId1105" display="https://us.pandora.net/on/demandware.static/-/Sites-pandora-master-catalog/default/dwbb259ca6/productimages/singlepackshot/192993C03_RGB.png"/>
    <hyperlink ref="D1107" r:id="rId1106" display="https://us.pandora.net/on/demandware.static/-/Sites-pandora-master-catalog/default/dwbb259ca6/productimages/singlepackshot/192993C03_RGB.png"/>
    <hyperlink ref="D1108" r:id="rId1107" display="https://us.pandora.net/on/demandware.static/-/Sites-pandora-master-catalog/default/dwbb259ca6/productimages/singlepackshot/192993C03_RGB.png"/>
    <hyperlink ref="D1109" r:id="rId1108" display="https://us.pandora.net/on/demandware.static/-/Sites-pandora-master-catalog/default/dwbb259ca6/productimages/singlepackshot/192993C03_RGB.png"/>
    <hyperlink ref="D1110" r:id="rId1109" display="https://us.pandora.net/on/demandware.static/-/Sites-pandora-master-catalog/default/dwbb259ca6/productimages/singlepackshot/192993C05_RGB.png"/>
    <hyperlink ref="D1111" r:id="rId1110" display="https://us.pandora.net/on/demandware.static/-/Sites-pandora-master-catalog/default/dwbb259ca6/productimages/singlepackshot/192993C05_RGB.png"/>
    <hyperlink ref="D1112" r:id="rId1111" display="https://us.pandora.net/on/demandware.static/-/Sites-pandora-master-catalog/default/dwbb259ca6/productimages/singlepackshot/192993C05_RGB.png"/>
    <hyperlink ref="D1113" r:id="rId1112" display="https://us.pandora.net/on/demandware.static/-/Sites-pandora-master-catalog/default/dwbb259ca6/productimages/singlepackshot/192993C05_RGB.png"/>
    <hyperlink ref="D1114" r:id="rId1113" display="https://us.pandora.net/on/demandware.static/-/Sites-pandora-master-catalog/default/dwbb259ca6/productimages/singlepackshot/192993C05_RGB.png"/>
    <hyperlink ref="D1115" r:id="rId1114" display="https://us.pandora.net/on/demandware.static/-/Sites-pandora-master-catalog/default/dwbb259ca6/productimages/singlepackshot/192993C05_RGB.png"/>
    <hyperlink ref="D1116" r:id="rId1115" display="https://us.pandora.net/on/demandware.static/-/Sites-pandora-master-catalog/default/dwbb259ca6/productimages/singlepackshot/192993C05_RGB.png"/>
    <hyperlink ref="D1117" r:id="rId1116" display="https://us.pandora.net/on/demandware.static/-/Sites-pandora-master-catalog/default/dwbb259ca6/productimages/singlepackshot/192993C07_RGB.png"/>
    <hyperlink ref="D1118" r:id="rId1117" display="https://us.pandora.net/on/demandware.static/-/Sites-pandora-master-catalog/default/dwbb259ca6/productimages/singlepackshot/192993C07_RGB.png"/>
    <hyperlink ref="D1119" r:id="rId1118" display="https://us.pandora.net/on/demandware.static/-/Sites-pandora-master-catalog/default/dwbb259ca6/productimages/singlepackshot/192993C07_RGB.png"/>
    <hyperlink ref="D1120" r:id="rId1119" display="https://us.pandora.net/on/demandware.static/-/Sites-pandora-master-catalog/default/dwbb259ca6/productimages/singlepackshot/192993C07_RGB.png"/>
    <hyperlink ref="D1121" r:id="rId1120" display="https://us.pandora.net/on/demandware.static/-/Sites-pandora-master-catalog/default/dwbb259ca6/productimages/singlepackshot/192993C07_RGB.png"/>
    <hyperlink ref="D1122" r:id="rId1121" display="https://us.pandora.net/on/demandware.static/-/Sites-pandora-master-catalog/default/dwbb259ca6/productimages/singlepackshot/192993C07_RGB.png"/>
    <hyperlink ref="D1123" r:id="rId1122" display="https://us.pandora.net/on/demandware.static/-/Sites-pandora-master-catalog/default/dwbb259ca6/productimages/singlepackshot/192993C07_RGB.png"/>
    <hyperlink ref="D1124" r:id="rId1123" display="https://us.pandora.net/on/demandware.static/-/Sites-pandora-master-catalog/default/dwbb259ca6/productimages/singlepackshot/192993C09_RGB.png"/>
    <hyperlink ref="D1125" r:id="rId1124" display="https://us.pandora.net/on/demandware.static/-/Sites-pandora-master-catalog/default/dwbb259ca6/productimages/singlepackshot/192993C09_RGB.png"/>
    <hyperlink ref="D1126" r:id="rId1125" display="https://us.pandora.net/on/demandware.static/-/Sites-pandora-master-catalog/default/dwbb259ca6/productimages/singlepackshot/192993C09_RGB.png"/>
    <hyperlink ref="D1127" r:id="rId1126" display="https://us.pandora.net/on/demandware.static/-/Sites-pandora-master-catalog/default/dwbb259ca6/productimages/singlepackshot/192993C09_RGB.png"/>
    <hyperlink ref="D1128" r:id="rId1127" display="https://us.pandora.net/on/demandware.static/-/Sites-pandora-master-catalog/default/dwbb259ca6/productimages/singlepackshot/192993C09_RGB.png"/>
    <hyperlink ref="D1129" r:id="rId1128" display="https://us.pandora.net/on/demandware.static/-/Sites-pandora-master-catalog/default/dwbb259ca6/productimages/singlepackshot/192993C09_RGB.png"/>
    <hyperlink ref="D1130" r:id="rId1129" display="https://us.pandora.net/on/demandware.static/-/Sites-pandora-master-catalog/default/dwbb259ca6/productimages/singlepackshot/192993C09_RGB.png"/>
    <hyperlink ref="D1131" r:id="rId1130" display="https://us.pandora.net/on/demandware.static/-/Sites-pandora-master-catalog/default/dwbb259ca6/productimages/singlepackshot/192993C10_RGB.png"/>
    <hyperlink ref="D1132" r:id="rId1131" display="https://us.pandora.net/on/demandware.static/-/Sites-pandora-master-catalog/default/dwbb259ca6/productimages/singlepackshot/192993C10_RGB.png"/>
    <hyperlink ref="D1133" r:id="rId1132" display="https://us.pandora.net/on/demandware.static/-/Sites-pandora-master-catalog/default/dwbb259ca6/productimages/singlepackshot/192993C10_RGB.png"/>
    <hyperlink ref="D1134" r:id="rId1133" display="https://us.pandora.net/on/demandware.static/-/Sites-pandora-master-catalog/default/dwbb259ca6/productimages/singlepackshot/192993C10_RGB.png"/>
    <hyperlink ref="D1135" r:id="rId1134" display="https://us.pandora.net/on/demandware.static/-/Sites-pandora-master-catalog/default/dwbb259ca6/productimages/singlepackshot/192993C10_RGB.png"/>
    <hyperlink ref="D1136" r:id="rId1135" display="https://us.pandora.net/on/demandware.static/-/Sites-pandora-master-catalog/default/dwbb259ca6/productimages/singlepackshot/192993C10_RGB.png"/>
    <hyperlink ref="D1137" r:id="rId1136" display="https://us.pandora.net/on/demandware.static/-/Sites-pandora-master-catalog/default/dwbb259ca6/productimages/singlepackshot/192993C10_RGB.png"/>
    <hyperlink ref="D1138" r:id="rId1137" display="https://us.pandora.net/on/demandware.static/-/Sites-pandora-master-catalog/default/dwbb259ca6/productimages/singlepackshot/192993C12_RGB.png"/>
    <hyperlink ref="D1139" r:id="rId1138" display="https://us.pandora.net/on/demandware.static/-/Sites-pandora-master-catalog/default/dwbb259ca6/productimages/singlepackshot/192993C12_RGB.png"/>
    <hyperlink ref="D1140" r:id="rId1139" display="https://us.pandora.net/on/demandware.static/-/Sites-pandora-master-catalog/default/dwbb259ca6/productimages/singlepackshot/192993C12_RGB.png"/>
    <hyperlink ref="D1141" r:id="rId1140" display="https://us.pandora.net/on/demandware.static/-/Sites-pandora-master-catalog/default/dwbb259ca6/productimages/singlepackshot/192993C12_RGB.png"/>
    <hyperlink ref="D1142" r:id="rId1141" display="https://us.pandora.net/on/demandware.static/-/Sites-pandora-master-catalog/default/dwbb259ca6/productimages/singlepackshot/192993C12_RGB.png"/>
    <hyperlink ref="D1143" r:id="rId1142" display="https://us.pandora.net/on/demandware.static/-/Sites-pandora-master-catalog/default/dwbb259ca6/productimages/singlepackshot/192993C12_RGB.png"/>
    <hyperlink ref="D1144" r:id="rId1143" display="https://us.pandora.net/on/demandware.static/-/Sites-pandora-master-catalog/default/dwbb259ca6/productimages/singlepackshot/192993C12_RGB.png"/>
    <hyperlink ref="D1145" r:id="rId1144" display="https://us.pandora.net/on/demandware.static/-/Sites-pandora-master-catalog/default/dwbb259ca6/productimages/singlepackshot/192999C01_RGB.png"/>
    <hyperlink ref="D1146" r:id="rId1145" display="https://us.pandora.net/on/demandware.static/-/Sites-pandora-master-catalog/default/dwbb259ca6/productimages/singlepackshot/192999C01_RGB.png"/>
    <hyperlink ref="D1147" r:id="rId1146" display="https://us.pandora.net/on/demandware.static/-/Sites-pandora-master-catalog/default/dwbb259ca6/productimages/singlepackshot/192999C01_RGB.png"/>
    <hyperlink ref="D1148" r:id="rId1147" display="https://us.pandora.net/on/demandware.static/-/Sites-pandora-master-catalog/default/dwbb259ca6/productimages/singlepackshot/192999C01_RGB.png"/>
    <hyperlink ref="D1149" r:id="rId1148" display="https://us.pandora.net/on/demandware.static/-/Sites-pandora-master-catalog/default/dwbb259ca6/productimages/singlepackshot/192999C01_RGB.png"/>
    <hyperlink ref="D1150" r:id="rId1149" display="https://us.pandora.net/on/demandware.static/-/Sites-pandora-master-catalog/default/dwbb259ca6/productimages/singlepackshot/192999C01_RGB.png"/>
    <hyperlink ref="D1151" r:id="rId1150" display="https://us.pandora.net/on/demandware.static/-/Sites-pandora-master-catalog/default/dwbb259ca6/productimages/singlepackshot/192999C01_RGB.png"/>
    <hyperlink ref="D1152" r:id="rId1151" display="https://us.pandora.net/on/demandware.static/-/Sites-pandora-master-catalog/default/dwbb259ca6/productimages/singlepackshot/192999C01_RGB.png"/>
    <hyperlink ref="D1153" r:id="rId1152" display="https://us.pandora.net/on/demandware.static/-/Sites-pandora-master-catalog/default/dwbb259ca6/productimages/singlepackshot/192999C01_RGB.png"/>
    <hyperlink ref="D1154" r:id="rId1153" display="https://us.pandora.net/on/demandware.static/-/Sites-pandora-master-catalog/default/dwbb259ca6/productimages/singlepackshot/192999C01_RGB.png"/>
    <hyperlink ref="D1155" r:id="rId1154" display="https://us.pandora.net/on/demandware.static/-/Sites-pandora-master-catalog/default/dwbb259ca6/productimages/singlepackshot/192999C01_RGB.png"/>
    <hyperlink ref="D1156" r:id="rId1155" display="https://us.pandora.net/on/demandware.static/-/Sites-pandora-master-catalog/default/dwbb259ca6/productimages/singlepackshot/193000C01_RGB.png"/>
    <hyperlink ref="D1157" r:id="rId1156" display="https://us.pandora.net/on/demandware.static/-/Sites-pandora-master-catalog/default/dwbb259ca6/productimages/singlepackshot/193000C01_RGB.png"/>
    <hyperlink ref="D1158" r:id="rId1157" display="https://us.pandora.net/on/demandware.static/-/Sites-pandora-master-catalog/default/dwbb259ca6/productimages/singlepackshot/193000C01_RGB.png"/>
    <hyperlink ref="D1159" r:id="rId1158" display="https://us.pandora.net/on/demandware.static/-/Sites-pandora-master-catalog/default/dwbb259ca6/productimages/singlepackshot/193000C01_RGB.png"/>
    <hyperlink ref="D1160" r:id="rId1159" display="https://us.pandora.net/on/demandware.static/-/Sites-pandora-master-catalog/default/dwbb259ca6/productimages/singlepackshot/193000C01_RGB.png"/>
    <hyperlink ref="D1161" r:id="rId1160" display="https://us.pandora.net/on/demandware.static/-/Sites-pandora-master-catalog/default/dwbb259ca6/productimages/singlepackshot/193000C01_RGB.png"/>
    <hyperlink ref="D1162" r:id="rId1161" display="https://us.pandora.net/on/demandware.static/-/Sites-pandora-master-catalog/default/dwbb259ca6/productimages/singlepackshot/193000C01_RGB.png"/>
    <hyperlink ref="D1163" r:id="rId1162" display="https://us.pandora.net/on/demandware.static/-/Sites-pandora-master-catalog/default/dwbb259ca6/productimages/singlepackshot/193004C01_RGB.png"/>
    <hyperlink ref="D1164" r:id="rId1163" display="https://us.pandora.net/on/demandware.static/-/Sites-pandora-master-catalog/default/dwbb259ca6/productimages/singlepackshot/193004C01_RGB.png"/>
    <hyperlink ref="D1165" r:id="rId1164" display="https://us.pandora.net/on/demandware.static/-/Sites-pandora-master-catalog/default/dwbb259ca6/productimages/singlepackshot/193004C01_RGB.png"/>
    <hyperlink ref="D1166" r:id="rId1165" display="https://us.pandora.net/on/demandware.static/-/Sites-pandora-master-catalog/default/dwbb259ca6/productimages/singlepackshot/193004C01_RGB.png"/>
    <hyperlink ref="D1167" r:id="rId1166" display="https://us.pandora.net/on/demandware.static/-/Sites-pandora-master-catalog/default/dwbb259ca6/productimages/singlepackshot/193004C01_RGB.png"/>
    <hyperlink ref="D1168" r:id="rId1167" display="https://us.pandora.net/on/demandware.static/-/Sites-pandora-master-catalog/default/dwbb259ca6/productimages/singlepackshot/193004C01_RGB.png"/>
    <hyperlink ref="D1169" r:id="rId1168" display="https://us.pandora.net/on/demandware.static/-/Sites-pandora-master-catalog/default/dwbb259ca6/productimages/singlepackshot/193004C01_RGB.png"/>
    <hyperlink ref="D1170" r:id="rId1169" display="https://us.pandora.net/on/demandware.static/-/Sites-pandora-master-catalog/default/dwbb259ca6/productimages/singlepackshot/193012C01_RGB.png"/>
    <hyperlink ref="D1171" r:id="rId1170" display="https://us.pandora.net/on/demandware.static/-/Sites-pandora-master-catalog/default/dwbb259ca6/productimages/singlepackshot/193012C01_RGB.png"/>
    <hyperlink ref="D1172" r:id="rId1171" display="https://us.pandora.net/on/demandware.static/-/Sites-pandora-master-catalog/default/dwbb259ca6/productimages/singlepackshot/193012C01_RGB.png"/>
    <hyperlink ref="D1173" r:id="rId1172" display="https://us.pandora.net/on/demandware.static/-/Sites-pandora-master-catalog/default/dwbb259ca6/productimages/singlepackshot/193012C01_RGB.png"/>
    <hyperlink ref="D1174" r:id="rId1173" display="https://us.pandora.net/on/demandware.static/-/Sites-pandora-master-catalog/default/dwbb259ca6/productimages/singlepackshot/193012C01_RGB.png"/>
    <hyperlink ref="D1175" r:id="rId1174" display="https://us.pandora.net/on/demandware.static/-/Sites-pandora-master-catalog/default/dwbb259ca6/productimages/singlepackshot/193012C01_RGB.png"/>
    <hyperlink ref="D1176" r:id="rId1175" display="https://us.pandora.net/on/demandware.static/-/Sites-pandora-master-catalog/default/dwbb259ca6/productimages/singlepackshot/193012C01_RGB.png"/>
    <hyperlink ref="D1177" r:id="rId1176" display="https://us.pandora.net/on/demandware.static/-/Sites-pandora-master-catalog/default/dwbb259ca6/productimages/singlepackshot/193022C01_RGB.png"/>
    <hyperlink ref="D1178" r:id="rId1177" display="https://us.pandora.net/on/demandware.static/-/Sites-pandora-master-catalog/default/dwbb259ca6/productimages/singlepackshot/193022C01_RGB.png"/>
    <hyperlink ref="D1179" r:id="rId1178" display="https://us.pandora.net/on/demandware.static/-/Sites-pandora-master-catalog/default/dwbb259ca6/productimages/singlepackshot/193022C01_RGB.png"/>
    <hyperlink ref="D1180" r:id="rId1179" display="https://us.pandora.net/on/demandware.static/-/Sites-pandora-master-catalog/default/dwbb259ca6/productimages/singlepackshot/193022C01_RGB.png"/>
    <hyperlink ref="D1181" r:id="rId1180" display="https://us.pandora.net/on/demandware.static/-/Sites-pandora-master-catalog/default/dwbb259ca6/productimages/singlepackshot/193022C01_RGB.png"/>
    <hyperlink ref="D1182" r:id="rId1181" display="https://us.pandora.net/on/demandware.static/-/Sites-pandora-master-catalog/default/dwbb259ca6/productimages/singlepackshot/193022C01_RGB.png"/>
    <hyperlink ref="D1183" r:id="rId1182" display="https://us.pandora.net/on/demandware.static/-/Sites-pandora-master-catalog/default/dwbb259ca6/productimages/singlepackshot/193022C01_RGB.png"/>
    <hyperlink ref="D1184" r:id="rId1183" display="https://us.pandora.net/on/demandware.static/-/Sites-pandora-master-catalog/default/dwbb259ca6/productimages/singlepackshot/193058C00_RGB.png"/>
    <hyperlink ref="D1185" r:id="rId1184" display="https://us.pandora.net/on/demandware.static/-/Sites-pandora-master-catalog/default/dwbb259ca6/productimages/singlepackshot/193058C00_RGB.png"/>
    <hyperlink ref="D1186" r:id="rId1185" display="https://us.pandora.net/on/demandware.static/-/Sites-pandora-master-catalog/default/dwbb259ca6/productimages/singlepackshot/193058C00_RGB.png"/>
    <hyperlink ref="D1187" r:id="rId1186" display="https://us.pandora.net/on/demandware.static/-/Sites-pandora-master-catalog/default/dwbb259ca6/productimages/singlepackshot/193058C00_RGB.png"/>
    <hyperlink ref="D1188" r:id="rId1187" display="https://us.pandora.net/on/demandware.static/-/Sites-pandora-master-catalog/default/dwbb259ca6/productimages/singlepackshot/193058C00_RGB.png"/>
    <hyperlink ref="D1189" r:id="rId1188" display="https://us.pandora.net/on/demandware.static/-/Sites-pandora-master-catalog/default/dwbb259ca6/productimages/singlepackshot/193058C00_RGB.png"/>
    <hyperlink ref="D1190" r:id="rId1189" display="https://us.pandora.net/on/demandware.static/-/Sites-pandora-master-catalog/default/dwbb259ca6/productimages/singlepackshot/193058C00_RGB.png"/>
    <hyperlink ref="D1191" r:id="rId1190" display="https://us.pandora.net/on/demandware.static/-/Sites-pandora-master-catalog/default/dwbb259ca6/productimages/singlepackshot/193088C01_RGB.png"/>
    <hyperlink ref="D1192" r:id="rId1191" display="https://us.pandora.net/on/demandware.static/-/Sites-pandora-master-catalog/default/dwbb259ca6/productimages/singlepackshot/193088C01_RGB.png"/>
    <hyperlink ref="D1193" r:id="rId1192" display="https://us.pandora.net/on/demandware.static/-/Sites-pandora-master-catalog/default/dwbb259ca6/productimages/singlepackshot/193088C01_RGB.png"/>
    <hyperlink ref="D1194" r:id="rId1193" display="https://us.pandora.net/on/demandware.static/-/Sites-pandora-master-catalog/default/dwbb259ca6/productimages/singlepackshot/193088C01_RGB.png"/>
    <hyperlink ref="D1195" r:id="rId1194" display="https://us.pandora.net/on/demandware.static/-/Sites-pandora-master-catalog/default/dwbb259ca6/productimages/singlepackshot/193088C01_RGB.png"/>
    <hyperlink ref="D1196" r:id="rId1195" display="https://us.pandora.net/on/demandware.static/-/Sites-pandora-master-catalog/default/dwbb259ca6/productimages/singlepackshot/193088C01_RGB.png"/>
    <hyperlink ref="D1197" r:id="rId1196" display="https://us.pandora.net/on/demandware.static/-/Sites-pandora-master-catalog/default/dwbb259ca6/productimages/singlepackshot/193088C01_RGB.png"/>
    <hyperlink ref="D1198" r:id="rId1197" display="https://us.pandora.net/on/demandware.static/-/Sites-pandora-master-catalog/default/dwbb259ca6/productimages/singlepackshot/193088C01_RGB.png"/>
    <hyperlink ref="D1199" r:id="rId1198" display="https://us.pandora.net/on/demandware.static/-/Sites-pandora-master-catalog/default/dwbb259ca6/productimages/singlepackshot/193088C01_RGB.png"/>
    <hyperlink ref="D1200" r:id="rId1199" display="https://us.pandora.net/on/demandware.static/-/Sites-pandora-master-catalog/default/dwbb259ca6/productimages/singlepackshot/193088C01_RGB.png"/>
    <hyperlink ref="D1201" r:id="rId1200" display="https://us.pandora.net/on/demandware.static/-/Sites-pandora-master-catalog/default/dwbb259ca6/productimages/singlepackshot/193088C01_RGB.png"/>
    <hyperlink ref="D1202" r:id="rId1201" display="https://us.pandora.net/on/demandware.static/-/Sites-pandora-master-catalog/default/dwbb259ca6/productimages/singlepackshot/193088C02_RGB.png"/>
    <hyperlink ref="D1203" r:id="rId1202" display="https://us.pandora.net/on/demandware.static/-/Sites-pandora-master-catalog/default/dwbb259ca6/productimages/singlepackshot/193088C02_RGB.png"/>
    <hyperlink ref="D1204" r:id="rId1203" display="https://us.pandora.net/on/demandware.static/-/Sites-pandora-master-catalog/default/dwbb259ca6/productimages/singlepackshot/193088C02_RGB.png"/>
    <hyperlink ref="D1205" r:id="rId1204" display="https://us.pandora.net/on/demandware.static/-/Sites-pandora-master-catalog/default/dwbb259ca6/productimages/singlepackshot/193088C02_RGB.png"/>
    <hyperlink ref="D1206" r:id="rId1205" display="https://us.pandora.net/on/demandware.static/-/Sites-pandora-master-catalog/default/dwbb259ca6/productimages/singlepackshot/193088C02_RGB.png"/>
    <hyperlink ref="D1207" r:id="rId1206" display="https://us.pandora.net/on/demandware.static/-/Sites-pandora-master-catalog/default/dwbb259ca6/productimages/singlepackshot/193088C02_RGB.png"/>
    <hyperlink ref="D1208" r:id="rId1207" display="https://us.pandora.net/on/demandware.static/-/Sites-pandora-master-catalog/default/dwbb259ca6/productimages/singlepackshot/193088C02_RGB.png"/>
    <hyperlink ref="D1209" r:id="rId1208" display="https://us.pandora.net/on/demandware.static/-/Sites-pandora-master-catalog/default/dwbb259ca6/productimages/singlepackshot/193088C02_RGB.png"/>
    <hyperlink ref="D1210" r:id="rId1209" display="https://us.pandora.net/on/demandware.static/-/Sites-pandora-master-catalog/default/dwbb259ca6/productimages/singlepackshot/193088C02_RGB.png"/>
    <hyperlink ref="D1211" r:id="rId1210" display="https://us.pandora.net/on/demandware.static/-/Sites-pandora-master-catalog/default/dwbb259ca6/productimages/singlepackshot/193088C02_RGB.png"/>
    <hyperlink ref="D1212" r:id="rId1211" display="https://us.pandora.net/on/demandware.static/-/Sites-pandora-master-catalog/default/dwbb259ca6/productimages/singlepackshot/193089C01_RGB.png"/>
    <hyperlink ref="D1213" r:id="rId1212" display="https://us.pandora.net/on/demandware.static/-/Sites-pandora-master-catalog/default/dwbb259ca6/productimages/singlepackshot/193089C01_RGB.png"/>
    <hyperlink ref="D1214" r:id="rId1213" display="https://us.pandora.net/on/demandware.static/-/Sites-pandora-master-catalog/default/dwbb259ca6/productimages/singlepackshot/193089C01_RGB.png"/>
    <hyperlink ref="D1215" r:id="rId1214" display="https://us.pandora.net/on/demandware.static/-/Sites-pandora-master-catalog/default/dwbb259ca6/productimages/singlepackshot/193089C01_RGB.png"/>
    <hyperlink ref="D1216" r:id="rId1215" display="https://us.pandora.net/on/demandware.static/-/Sites-pandora-master-catalog/default/dwbb259ca6/productimages/singlepackshot/193089C01_RGB.png"/>
    <hyperlink ref="D1217" r:id="rId1216" display="https://us.pandora.net/on/demandware.static/-/Sites-pandora-master-catalog/default/dwbb259ca6/productimages/singlepackshot/193089C01_RGB.png"/>
    <hyperlink ref="D1218" r:id="rId1217" display="https://us.pandora.net/on/demandware.static/-/Sites-pandora-master-catalog/default/dwbb259ca6/productimages/singlepackshot/193089C01_RGB.png"/>
    <hyperlink ref="D1219" r:id="rId1218" display="https://us.pandora.net/on/demandware.static/-/Sites-pandora-master-catalog/default/dwbb259ca6/productimages/singlepackshot/193089C01_RGB.png"/>
    <hyperlink ref="D1220" r:id="rId1219" display="https://us.pandora.net/on/demandware.static/-/Sites-pandora-master-catalog/default/dwbb259ca6/productimages/singlepackshot/193089C01_RGB.png"/>
    <hyperlink ref="D1221" r:id="rId1220" display="https://us.pandora.net/on/demandware.static/-/Sites-pandora-master-catalog/default/dwbb259ca6/productimages/singlepackshot/193089C01_RGB.png"/>
    <hyperlink ref="D1222" r:id="rId1221" display="https://us.pandora.net/on/demandware.static/-/Sites-pandora-master-catalog/default/dwbb259ca6/productimages/singlepackshot/193093C00_RGB.png"/>
    <hyperlink ref="D1223" r:id="rId1222" display="https://us.pandora.net/on/demandware.static/-/Sites-pandora-master-catalog/default/dwbb259ca6/productimages/singlepackshot/193093C00_RGB.png"/>
    <hyperlink ref="D1224" r:id="rId1223" display="https://us.pandora.net/on/demandware.static/-/Sites-pandora-master-catalog/default/dwbb259ca6/productimages/singlepackshot/193093C00_RGB.png"/>
    <hyperlink ref="D1225" r:id="rId1224" display="https://us.pandora.net/on/demandware.static/-/Sites-pandora-master-catalog/default/dwbb259ca6/productimages/singlepackshot/193093C00_RGB.png"/>
    <hyperlink ref="D1226" r:id="rId1225" display="https://us.pandora.net/on/demandware.static/-/Sites-pandora-master-catalog/default/dwbb259ca6/productimages/singlepackshot/193093C00_RGB.png"/>
    <hyperlink ref="D1227" r:id="rId1226" display="https://us.pandora.net/on/demandware.static/-/Sites-pandora-master-catalog/default/dwbb259ca6/productimages/singlepackshot/193093C00_RGB.png"/>
    <hyperlink ref="D1228" r:id="rId1227" display="https://us.pandora.net/on/demandware.static/-/Sites-pandora-master-catalog/default/dwbb259ca6/productimages/singlepackshot/193093C00_RGB.png"/>
    <hyperlink ref="D1229" r:id="rId1228" display="https://us.pandora.net/on/demandware.static/-/Sites-pandora-master-catalog/default/dwbb259ca6/productimages/singlepackshot/193095C00_RGB.png"/>
    <hyperlink ref="D1230" r:id="rId1229" display="https://us.pandora.net/on/demandware.static/-/Sites-pandora-master-catalog/default/dwbb259ca6/productimages/singlepackshot/193095C00_RGB.png"/>
    <hyperlink ref="D1231" r:id="rId1230" display="https://us.pandora.net/on/demandware.static/-/Sites-pandora-master-catalog/default/dwbb259ca6/productimages/singlepackshot/193095C00_RGB.png"/>
    <hyperlink ref="D1232" r:id="rId1231" display="https://us.pandora.net/on/demandware.static/-/Sites-pandora-master-catalog/default/dwbb259ca6/productimages/singlepackshot/193095C00_RGB.png"/>
    <hyperlink ref="D1233" r:id="rId1232" display="https://us.pandora.net/on/demandware.static/-/Sites-pandora-master-catalog/default/dwbb259ca6/productimages/singlepackshot/193095C00_RGB.png"/>
    <hyperlink ref="D1234" r:id="rId1233" display="https://us.pandora.net/on/demandware.static/-/Sites-pandora-master-catalog/default/dwbb259ca6/productimages/singlepackshot/193095C00_RGB.png"/>
    <hyperlink ref="D1235" r:id="rId1234" display="https://us.pandora.net/on/demandware.static/-/Sites-pandora-master-catalog/default/dwbb259ca6/productimages/singlepackshot/193095C00_RGB.png"/>
    <hyperlink ref="D1236" r:id="rId1235" display="https://us.pandora.net/on/demandware.static/-/Sites-pandora-master-catalog/default/dwbb259ca6/productimages/singlepackshot/193098C01_RGB.png"/>
    <hyperlink ref="D1237" r:id="rId1236" display="https://us.pandora.net/on/demandware.static/-/Sites-pandora-master-catalog/default/dwbb259ca6/productimages/singlepackshot/193098C01_RGB.png"/>
    <hyperlink ref="D1238" r:id="rId1237" display="https://us.pandora.net/on/demandware.static/-/Sites-pandora-master-catalog/default/dwbb259ca6/productimages/singlepackshot/193098C01_RGB.png"/>
    <hyperlink ref="D1239" r:id="rId1238" display="https://us.pandora.net/on/demandware.static/-/Sites-pandora-master-catalog/default/dwbb259ca6/productimages/singlepackshot/193098C01_RGB.png"/>
    <hyperlink ref="D1240" r:id="rId1239" display="https://us.pandora.net/on/demandware.static/-/Sites-pandora-master-catalog/default/dwbb259ca6/productimages/singlepackshot/193098C01_RGB.png"/>
    <hyperlink ref="D1241" r:id="rId1240" display="https://us.pandora.net/on/demandware.static/-/Sites-pandora-master-catalog/default/dwbb259ca6/productimages/singlepackshot/193098C01_RGB.png"/>
    <hyperlink ref="D1242" r:id="rId1241" display="https://us.pandora.net/on/demandware.static/-/Sites-pandora-master-catalog/default/dwbb259ca6/productimages/singlepackshot/193098C01_RGB.png"/>
    <hyperlink ref="D1243" r:id="rId1242" display="https://us.pandora.net/on/demandware.static/-/Sites-pandora-master-catalog/default/dwbb259ca6/productimages/singlepackshot/193100C01_RGB.png"/>
    <hyperlink ref="D1244" r:id="rId1243" display="https://us.pandora.net/on/demandware.static/-/Sites-pandora-master-catalog/default/dwbb259ca6/productimages/singlepackshot/193100C01_RGB.png"/>
    <hyperlink ref="D1245" r:id="rId1244" display="https://us.pandora.net/on/demandware.static/-/Sites-pandora-master-catalog/default/dwbb259ca6/productimages/singlepackshot/193100C01_RGB.png"/>
    <hyperlink ref="D1246" r:id="rId1245" display="https://us.pandora.net/on/demandware.static/-/Sites-pandora-master-catalog/default/dwbb259ca6/productimages/singlepackshot/193100C01_RGB.png"/>
    <hyperlink ref="D1247" r:id="rId1246" display="https://us.pandora.net/on/demandware.static/-/Sites-pandora-master-catalog/default/dwbb259ca6/productimages/singlepackshot/193100C01_RGB.png"/>
    <hyperlink ref="D1248" r:id="rId1247" display="https://us.pandora.net/on/demandware.static/-/Sites-pandora-master-catalog/default/dwbb259ca6/productimages/singlepackshot/193100C01_RGB.png"/>
    <hyperlink ref="D1249" r:id="rId1248" display="https://us.pandora.net/on/demandware.static/-/Sites-pandora-master-catalog/default/dwbb259ca6/productimages/singlepackshot/193100C01_RGB.png"/>
    <hyperlink ref="D1250" r:id="rId1249" display="https://us.pandora.net/on/demandware.static/-/Sites-pandora-master-catalog/default/dwbb259ca6/productimages/singlepackshot/193103C01_RGB.png"/>
    <hyperlink ref="D1251" r:id="rId1250" display="https://us.pandora.net/on/demandware.static/-/Sites-pandora-master-catalog/default/dwbb259ca6/productimages/singlepackshot/193103C01_RGB.png"/>
    <hyperlink ref="D1252" r:id="rId1251" display="https://us.pandora.net/on/demandware.static/-/Sites-pandora-master-catalog/default/dwbb259ca6/productimages/singlepackshot/193103C01_RGB.png"/>
    <hyperlink ref="D1253" r:id="rId1252" display="https://us.pandora.net/on/demandware.static/-/Sites-pandora-master-catalog/default/dwbb259ca6/productimages/singlepackshot/193103C01_RGB.png"/>
    <hyperlink ref="D1254" r:id="rId1253" display="https://us.pandora.net/on/demandware.static/-/Sites-pandora-master-catalog/default/dwbb259ca6/productimages/singlepackshot/193103C01_RGB.png"/>
    <hyperlink ref="D1255" r:id="rId1254" display="https://us.pandora.net/on/demandware.static/-/Sites-pandora-master-catalog/default/dwbb259ca6/productimages/singlepackshot/193103C01_RGB.png"/>
    <hyperlink ref="D1256" r:id="rId1255" display="https://us.pandora.net/on/demandware.static/-/Sites-pandora-master-catalog/default/dwbb259ca6/productimages/singlepackshot/193103C01_RGB.png"/>
    <hyperlink ref="D1257" r:id="rId1256" display="https://us.pandora.net/on/demandware.static/-/Sites-pandora-master-catalog/default/dwbb259ca6/productimages/singlepackshot/193145C01_RGB.png"/>
    <hyperlink ref="D1258" r:id="rId1257" display="https://us.pandora.net/on/demandware.static/-/Sites-pandora-master-catalog/default/dwbb259ca6/productimages/singlepackshot/193145C01_RGB.png"/>
    <hyperlink ref="D1259" r:id="rId1258" display="https://us.pandora.net/on/demandware.static/-/Sites-pandora-master-catalog/default/dwbb259ca6/productimages/singlepackshot/193145C01_RGB.png"/>
    <hyperlink ref="D1260" r:id="rId1259" display="https://us.pandora.net/on/demandware.static/-/Sites-pandora-master-catalog/default/dwbb259ca6/productimages/singlepackshot/193145C01_RGB.png"/>
    <hyperlink ref="D1261" r:id="rId1260" display="https://us.pandora.net/on/demandware.static/-/Sites-pandora-master-catalog/default/dwbb259ca6/productimages/singlepackshot/193145C01_RGB.png"/>
    <hyperlink ref="D1262" r:id="rId1261" display="https://us.pandora.net/on/demandware.static/-/Sites-pandora-master-catalog/default/dwbb259ca6/productimages/singlepackshot/193145C01_RGB.png"/>
    <hyperlink ref="D1263" r:id="rId1262" display="https://us.pandora.net/on/demandware.static/-/Sites-pandora-master-catalog/default/dwbb259ca6/productimages/singlepackshot/193145C01_RGB.png"/>
    <hyperlink ref="D1264" r:id="rId1263" display="https://us.pandora.net/on/demandware.static/-/Sites-pandora-master-catalog/default/dwbb259ca6/productimages/singlepackshot/193147C01_RGB.png"/>
    <hyperlink ref="D1265" r:id="rId1264" display="https://us.pandora.net/on/demandware.static/-/Sites-pandora-master-catalog/default/dwbb259ca6/productimages/singlepackshot/193147C01_RGB.png"/>
    <hyperlink ref="D1266" r:id="rId1265" display="https://us.pandora.net/on/demandware.static/-/Sites-pandora-master-catalog/default/dwbb259ca6/productimages/singlepackshot/193147C01_RGB.png"/>
    <hyperlink ref="D1267" r:id="rId1266" display="https://us.pandora.net/on/demandware.static/-/Sites-pandora-master-catalog/default/dwbb259ca6/productimages/singlepackshot/193147C01_RGB.png"/>
    <hyperlink ref="D1268" r:id="rId1267" display="https://us.pandora.net/on/demandware.static/-/Sites-pandora-master-catalog/default/dwbb259ca6/productimages/singlepackshot/193147C01_RGB.png"/>
    <hyperlink ref="D1269" r:id="rId1268" display="https://us.pandora.net/on/demandware.static/-/Sites-pandora-master-catalog/default/dwbb259ca6/productimages/singlepackshot/193147C01_RGB.png"/>
    <hyperlink ref="D1270" r:id="rId1269" display="https://us.pandora.net/on/demandware.static/-/Sites-pandora-master-catalog/default/dwbb259ca6/productimages/singlepackshot/193147C01_RGB.png"/>
    <hyperlink ref="D1271" r:id="rId1270" display="https://us.pandora.net/on/demandware.static/-/Sites-pandora-master-catalog/default/dwbb259ca6/productimages/singlepackshot/193149C01_RGB.png"/>
    <hyperlink ref="D1272" r:id="rId1271" display="https://us.pandora.net/on/demandware.static/-/Sites-pandora-master-catalog/default/dwbb259ca6/productimages/singlepackshot/193149C01_RGB.png"/>
    <hyperlink ref="D1273" r:id="rId1272" display="https://us.pandora.net/on/demandware.static/-/Sites-pandora-master-catalog/default/dwbb259ca6/productimages/singlepackshot/193149C01_RGB.png"/>
    <hyperlink ref="D1274" r:id="rId1273" display="https://us.pandora.net/on/demandware.static/-/Sites-pandora-master-catalog/default/dwbb259ca6/productimages/singlepackshot/193149C01_RGB.png"/>
    <hyperlink ref="D1275" r:id="rId1274" display="https://us.pandora.net/on/demandware.static/-/Sites-pandora-master-catalog/default/dwbb259ca6/productimages/singlepackshot/193149C01_RGB.png"/>
    <hyperlink ref="D1276" r:id="rId1275" display="https://us.pandora.net/on/demandware.static/-/Sites-pandora-master-catalog/default/dwbb259ca6/productimages/singlepackshot/193149C01_RGB.png"/>
    <hyperlink ref="D1277" r:id="rId1276" display="https://us.pandora.net/on/demandware.static/-/Sites-pandora-master-catalog/default/dwbb259ca6/productimages/singlepackshot/193149C01_RGB.png"/>
    <hyperlink ref="D1278" r:id="rId1277" display="https://us.pandora.net/on/demandware.static/-/Sites-pandora-master-catalog/default/dwbb259ca6/productimages/singlepackshot/193156C01_RGB.png"/>
    <hyperlink ref="D1279" r:id="rId1278" display="https://us.pandora.net/on/demandware.static/-/Sites-pandora-master-catalog/default/dwbb259ca6/productimages/singlepackshot/193156C01_RGB.png"/>
    <hyperlink ref="D1280" r:id="rId1279" display="https://us.pandora.net/on/demandware.static/-/Sites-pandora-master-catalog/default/dwbb259ca6/productimages/singlepackshot/193156C01_RGB.png"/>
    <hyperlink ref="D1281" r:id="rId1280" display="https://us.pandora.net/on/demandware.static/-/Sites-pandora-master-catalog/default/dwbb259ca6/productimages/singlepackshot/193156C01_RGB.png"/>
    <hyperlink ref="D1282" r:id="rId1281" display="https://us.pandora.net/on/demandware.static/-/Sites-pandora-master-catalog/default/dwbb259ca6/productimages/singlepackshot/193156C01_RGB.png"/>
    <hyperlink ref="D1283" r:id="rId1282" display="https://us.pandora.net/on/demandware.static/-/Sites-pandora-master-catalog/default/dwbb259ca6/productimages/singlepackshot/193156C01_RGB.png"/>
    <hyperlink ref="D1284" r:id="rId1283" display="https://us.pandora.net/on/demandware.static/-/Sites-pandora-master-catalog/default/dwbb259ca6/productimages/singlepackshot/193156C01_RGB.png"/>
    <hyperlink ref="D1285" r:id="rId1284" display="https://us.pandora.net/on/demandware.static/-/Sites-pandora-master-catalog/default/dwbb259ca6/productimages/singlepackshot/193158C01_RGB.png"/>
    <hyperlink ref="D1286" r:id="rId1285" display="https://us.pandora.net/on/demandware.static/-/Sites-pandora-master-catalog/default/dwbb259ca6/productimages/singlepackshot/193158C01_RGB.png"/>
    <hyperlink ref="D1287" r:id="rId1286" display="https://us.pandora.net/on/demandware.static/-/Sites-pandora-master-catalog/default/dwbb259ca6/productimages/singlepackshot/193158C01_RGB.png"/>
    <hyperlink ref="D1288" r:id="rId1287" display="https://us.pandora.net/on/demandware.static/-/Sites-pandora-master-catalog/default/dwbb259ca6/productimages/singlepackshot/193158C01_RGB.png"/>
    <hyperlink ref="D1289" r:id="rId1288" display="https://us.pandora.net/on/demandware.static/-/Sites-pandora-master-catalog/default/dwbb259ca6/productimages/singlepackshot/193158C01_RGB.png"/>
    <hyperlink ref="D1290" r:id="rId1289" display="https://us.pandora.net/on/demandware.static/-/Sites-pandora-master-catalog/default/dwbb259ca6/productimages/singlepackshot/193158C01_RGB.png"/>
    <hyperlink ref="D1291" r:id="rId1290" display="https://us.pandora.net/on/demandware.static/-/Sites-pandora-master-catalog/default/dwbb259ca6/productimages/singlepackshot/193158C01_RGB.png"/>
    <hyperlink ref="D1292" r:id="rId1291" display="https://us.pandora.net/on/demandware.static/-/Sites-pandora-master-catalog/default/dwbb259ca6/productimages/singlepackshot/193215C01_RGB.png"/>
    <hyperlink ref="D1293" r:id="rId1292" display="https://us.pandora.net/on/demandware.static/-/Sites-pandora-master-catalog/default/dwbb259ca6/productimages/singlepackshot/193215C01_RGB.png"/>
    <hyperlink ref="D1294" r:id="rId1293" display="https://us.pandora.net/on/demandware.static/-/Sites-pandora-master-catalog/default/dwbb259ca6/productimages/singlepackshot/193215C01_RGB.png"/>
    <hyperlink ref="D1295" r:id="rId1294" display="https://us.pandora.net/on/demandware.static/-/Sites-pandora-master-catalog/default/dwbb259ca6/productimages/singlepackshot/193215C01_RGB.png"/>
    <hyperlink ref="D1296" r:id="rId1295" display="https://us.pandora.net/on/demandware.static/-/Sites-pandora-master-catalog/default/dwbb259ca6/productimages/singlepackshot/193215C01_RGB.png"/>
    <hyperlink ref="D1297" r:id="rId1296" display="https://us.pandora.net/on/demandware.static/-/Sites-pandora-master-catalog/default/dwbb259ca6/productimages/singlepackshot/193215C01_RGB.png"/>
    <hyperlink ref="D1298" r:id="rId1297" display="https://us.pandora.net/on/demandware.static/-/Sites-pandora-master-catalog/default/dwbb259ca6/productimages/singlepackshot/193215C01_RGB.png"/>
    <hyperlink ref="D1299" r:id="rId1298" display="https://us.pandora.net/on/demandware.static/-/Sites-pandora-master-catalog/default/dwbb259ca6/productimages/singlepackshot/193264C00_RGB.png"/>
    <hyperlink ref="D1300" r:id="rId1299" display="https://us.pandora.net/on/demandware.static/-/Sites-pandora-master-catalog/default/dwbb259ca6/productimages/singlepackshot/193264C00_RGB.png"/>
    <hyperlink ref="D1301" r:id="rId1300" display="https://us.pandora.net/on/demandware.static/-/Sites-pandora-master-catalog/default/dwbb259ca6/productimages/singlepackshot/193264C00_RGB.png"/>
    <hyperlink ref="D1302" r:id="rId1301" display="https://us.pandora.net/on/demandware.static/-/Sites-pandora-master-catalog/default/dwbb259ca6/productimages/singlepackshot/193264C00_RGB.png"/>
    <hyperlink ref="D1303" r:id="rId1302" display="https://us.pandora.net/on/demandware.static/-/Sites-pandora-master-catalog/default/dwbb259ca6/productimages/singlepackshot/193264C00_RGB.png"/>
    <hyperlink ref="D1304" r:id="rId1303" display="https://us.pandora.net/on/demandware.static/-/Sites-pandora-master-catalog/default/dwbb259ca6/productimages/singlepackshot/193264C00_RGB.png"/>
    <hyperlink ref="D1305" r:id="rId1304" display="https://us.pandora.net/on/demandware.static/-/Sites-pandora-master-catalog/default/dwbb259ca6/productimages/singlepackshot/193264C00_RGB.png"/>
    <hyperlink ref="D1306" r:id="rId1305" display="https://us.pandora.net/on/demandware.static/-/Sites-pandora-master-catalog/default/dwbb259ca6/productimages/singlepackshot/193288C00_RGB.png"/>
    <hyperlink ref="D1307" r:id="rId1306" display="https://us.pandora.net/on/demandware.static/-/Sites-pandora-master-catalog/default/dwbb259ca6/productimages/singlepackshot/193288C00_RGB.png"/>
    <hyperlink ref="D1308" r:id="rId1307" display="https://us.pandora.net/on/demandware.static/-/Sites-pandora-master-catalog/default/dwbb259ca6/productimages/singlepackshot/193288C00_RGB.png"/>
    <hyperlink ref="D1309" r:id="rId1308" display="https://us.pandora.net/on/demandware.static/-/Sites-pandora-master-catalog/default/dwbb259ca6/productimages/singlepackshot/193288C00_RGB.png"/>
    <hyperlink ref="D1310" r:id="rId1309" display="https://us.pandora.net/on/demandware.static/-/Sites-pandora-master-catalog/default/dwbb259ca6/productimages/singlepackshot/193288C00_RGB.png"/>
    <hyperlink ref="D1311" r:id="rId1310" display="https://us.pandora.net/on/demandware.static/-/Sites-pandora-master-catalog/default/dwbb259ca6/productimages/singlepackshot/193288C00_RGB.png"/>
    <hyperlink ref="D1312" r:id="rId1311" display="https://us.pandora.net/on/demandware.static/-/Sites-pandora-master-catalog/default/dwbb259ca6/productimages/singlepackshot/193288C00_RGB.png"/>
    <hyperlink ref="D1313" r:id="rId1312" display="https://us.pandora.net/on/demandware.static/-/Sites-pandora-master-catalog/default/dwbb259ca6/productimages/singlepackshot/193314C00_RGB.png"/>
    <hyperlink ref="D1314" r:id="rId1313" display="https://us.pandora.net/on/demandware.static/-/Sites-pandora-master-catalog/default/dwbb259ca6/productimages/singlepackshot/193314C00_RGB.png"/>
    <hyperlink ref="D1315" r:id="rId1314" display="https://us.pandora.net/on/demandware.static/-/Sites-pandora-master-catalog/default/dwbb259ca6/productimages/singlepackshot/193314C00_RGB.png"/>
    <hyperlink ref="D1316" r:id="rId1315" display="https://us.pandora.net/on/demandware.static/-/Sites-pandora-master-catalog/default/dwbb259ca6/productimages/singlepackshot/193314C00_RGB.png"/>
    <hyperlink ref="D1317" r:id="rId1316" display="https://us.pandora.net/on/demandware.static/-/Sites-pandora-master-catalog/default/dwbb259ca6/productimages/singlepackshot/193314C00_RGB.png"/>
    <hyperlink ref="D1318" r:id="rId1317" display="https://us.pandora.net/on/demandware.static/-/Sites-pandora-master-catalog/default/dwbb259ca6/productimages/singlepackshot/193314C00_RGB.png"/>
    <hyperlink ref="D1319" r:id="rId1318" display="https://us.pandora.net/on/demandware.static/-/Sites-pandora-master-catalog/default/dwbb259ca6/productimages/singlepackshot/193314C00_RGB.png"/>
    <hyperlink ref="D1320" r:id="rId1319" display="https://us.pandora.net/on/demandware.static/-/Sites-pandora-master-catalog/default/dwbb259ca6/productimages/singlepackshot/193318C00_RGB.png"/>
    <hyperlink ref="D1321" r:id="rId1320" display="https://us.pandora.net/on/demandware.static/-/Sites-pandora-master-catalog/default/dwbb259ca6/productimages/singlepackshot/193318C00_RGB.png"/>
    <hyperlink ref="D1322" r:id="rId1321" display="https://us.pandora.net/on/demandware.static/-/Sites-pandora-master-catalog/default/dwbb259ca6/productimages/singlepackshot/193318C00_RGB.png"/>
    <hyperlink ref="D1323" r:id="rId1322" display="https://us.pandora.net/on/demandware.static/-/Sites-pandora-master-catalog/default/dwbb259ca6/productimages/singlepackshot/193318C00_RGB.png"/>
    <hyperlink ref="D1324" r:id="rId1323" display="https://us.pandora.net/on/demandware.static/-/Sites-pandora-master-catalog/default/dwbb259ca6/productimages/singlepackshot/193318C00_RGB.png"/>
    <hyperlink ref="D1325" r:id="rId1324" display="https://us.pandora.net/on/demandware.static/-/Sites-pandora-master-catalog/default/dwbb259ca6/productimages/singlepackshot/193318C00_RGB.png"/>
    <hyperlink ref="D1326" r:id="rId1325" display="https://us.pandora.net/on/demandware.static/-/Sites-pandora-master-catalog/default/dwbb259ca6/productimages/singlepackshot/193318C00_RGB.png"/>
    <hyperlink ref="D1327" r:id="rId1326" display="https://us.pandora.net/on/demandware.static/-/Sites-pandora-master-catalog/default/dwbb259ca6/productimages/singlepackshot/193322C01_RGB.png"/>
    <hyperlink ref="D1328" r:id="rId1327" display="https://us.pandora.net/on/demandware.static/-/Sites-pandora-master-catalog/default/dwbb259ca6/productimages/singlepackshot/193322C01_RGB.png"/>
    <hyperlink ref="D1329" r:id="rId1328" display="https://us.pandora.net/on/demandware.static/-/Sites-pandora-master-catalog/default/dwbb259ca6/productimages/singlepackshot/193322C01_RGB.png"/>
    <hyperlink ref="D1330" r:id="rId1329" display="https://us.pandora.net/on/demandware.static/-/Sites-pandora-master-catalog/default/dwbb259ca6/productimages/singlepackshot/193322C01_RGB.png"/>
    <hyperlink ref="D1331" r:id="rId1330" display="https://us.pandora.net/on/demandware.static/-/Sites-pandora-master-catalog/default/dwbb259ca6/productimages/singlepackshot/193322C01_RGB.png"/>
    <hyperlink ref="D1332" r:id="rId1331" display="https://us.pandora.net/on/demandware.static/-/Sites-pandora-master-catalog/default/dwbb259ca6/productimages/singlepackshot/193322C01_RGB.png"/>
    <hyperlink ref="D1333" r:id="rId1332" display="https://us.pandora.net/on/demandware.static/-/Sites-pandora-master-catalog/default/dwbb259ca6/productimages/singlepackshot/193322C01_RGB.png"/>
    <hyperlink ref="D1334" r:id="rId1333" display="https://us.pandora.net/on/demandware.static/-/Sites-pandora-master-catalog/default/dwbb259ca6/productimages/singlepackshot/193322C01_RGB.png"/>
    <hyperlink ref="D1335" r:id="rId1334" display="https://us.pandora.net/on/demandware.static/-/Sites-pandora-master-catalog/default/dwbb259ca6/productimages/singlepackshot/193322C01_RGB.png"/>
    <hyperlink ref="D1336" r:id="rId1335" display="https://us.pandora.net/on/demandware.static/-/Sites-pandora-master-catalog/default/dwbb259ca6/productimages/singlepackshot/193322C01_RGB.png"/>
    <hyperlink ref="D1337" r:id="rId1336" display="https://us.pandora.net/on/demandware.static/-/Sites-pandora-master-catalog/default/dwbb259ca6/productimages/singlepackshot/193325C01_RGB.png"/>
    <hyperlink ref="D1338" r:id="rId1337" display="https://us.pandora.net/on/demandware.static/-/Sites-pandora-master-catalog/default/dwbb259ca6/productimages/singlepackshot/193325C01_RGB.png"/>
    <hyperlink ref="D1339" r:id="rId1338" display="https://us.pandora.net/on/demandware.static/-/Sites-pandora-master-catalog/default/dwbb259ca6/productimages/singlepackshot/193325C01_RGB.png"/>
    <hyperlink ref="D1340" r:id="rId1339" display="https://us.pandora.net/on/demandware.static/-/Sites-pandora-master-catalog/default/dwbb259ca6/productimages/singlepackshot/193325C01_RGB.png"/>
    <hyperlink ref="D1341" r:id="rId1340" display="https://us.pandora.net/on/demandware.static/-/Sites-pandora-master-catalog/default/dwbb259ca6/productimages/singlepackshot/193325C01_RGB.png"/>
    <hyperlink ref="D1342" r:id="rId1341" display="https://us.pandora.net/on/demandware.static/-/Sites-pandora-master-catalog/default/dwbb259ca6/productimages/singlepackshot/193325C01_RGB.png"/>
    <hyperlink ref="D1343" r:id="rId1342" display="https://us.pandora.net/on/demandware.static/-/Sites-pandora-master-catalog/default/dwbb259ca6/productimages/singlepackshot/193325C01_RGB.png"/>
    <hyperlink ref="D1344" r:id="rId1343" display="https://us.pandora.net/on/demandware.static/-/Sites-pandora-master-catalog/default/dwbb259ca6/productimages/singlepackshot/193325C01_RGB.png"/>
    <hyperlink ref="D1345" r:id="rId1344" display="https://us.pandora.net/on/demandware.static/-/Sites-pandora-master-catalog/default/dwbb259ca6/productimages/singlepackshot/193422C01_RGB.png"/>
    <hyperlink ref="D1346" r:id="rId1345" display="https://us.pandora.net/on/demandware.static/-/Sites-pandora-master-catalog/default/dwbb259ca6/productimages/singlepackshot/193422C01_RGB.png"/>
    <hyperlink ref="D1347" r:id="rId1346" display="https://us.pandora.net/on/demandware.static/-/Sites-pandora-master-catalog/default/dwbb259ca6/productimages/singlepackshot/193422C01_RGB.png"/>
    <hyperlink ref="D1348" r:id="rId1347" display="https://us.pandora.net/on/demandware.static/-/Sites-pandora-master-catalog/default/dwbb259ca6/productimages/singlepackshot/193422C01_RGB.png"/>
    <hyperlink ref="D1349" r:id="rId1348" display="https://us.pandora.net/on/demandware.static/-/Sites-pandora-master-catalog/default/dwbb259ca6/productimages/singlepackshot/193422C01_RGB.png"/>
    <hyperlink ref="D1350" r:id="rId1349" display="https://us.pandora.net/on/demandware.static/-/Sites-pandora-master-catalog/default/dwbb259ca6/productimages/singlepackshot/193422C01_RGB.png"/>
    <hyperlink ref="D1351" r:id="rId1350" display="https://us.pandora.net/on/demandware.static/-/Sites-pandora-master-catalog/default/dwbb259ca6/productimages/singlepackshot/193422C01_RGB.png"/>
    <hyperlink ref="D1352" r:id="rId1351" display="https://us.pandora.net/on/demandware.static/-/Sites-pandora-master-catalog/default/dwbb259ca6/productimages/singlepackshot/193427C00_RGB.png"/>
    <hyperlink ref="D1353" r:id="rId1352" display="https://us.pandora.net/on/demandware.static/-/Sites-pandora-master-catalog/default/dwbb259ca6/productimages/singlepackshot/193427C00_RGB.png"/>
    <hyperlink ref="D1354" r:id="rId1353" display="https://us.pandora.net/on/demandware.static/-/Sites-pandora-master-catalog/default/dwbb259ca6/productimages/singlepackshot/193427C00_RGB.png"/>
    <hyperlink ref="D1355" r:id="rId1354" display="https://us.pandora.net/on/demandware.static/-/Sites-pandora-master-catalog/default/dwbb259ca6/productimages/singlepackshot/193427C00_RGB.png"/>
    <hyperlink ref="D1356" r:id="rId1355" display="https://us.pandora.net/on/demandware.static/-/Sites-pandora-master-catalog/default/dwbb259ca6/productimages/singlepackshot/193427C00_RGB.png"/>
    <hyperlink ref="D1357" r:id="rId1356" display="https://us.pandora.net/on/demandware.static/-/Sites-pandora-master-catalog/default/dwbb259ca6/productimages/singlepackshot/193427C00_RGB.png"/>
    <hyperlink ref="D1358" r:id="rId1357" display="https://us.pandora.net/on/demandware.static/-/Sites-pandora-master-catalog/default/dwbb259ca6/productimages/singlepackshot/193427C00_RGB.png"/>
    <hyperlink ref="D1359" r:id="rId1358" display="https://us.pandora.net/on/demandware.static/-/Sites-pandora-master-catalog/default/dwbb259ca6/productimages/singlepackshot/193510C01_RGB.png"/>
    <hyperlink ref="D1360" r:id="rId1359" display="https://us.pandora.net/on/demandware.static/-/Sites-pandora-master-catalog/default/dwbb259ca6/productimages/singlepackshot/193510C01_RGB.png"/>
    <hyperlink ref="D1361" r:id="rId1360" display="https://us.pandora.net/on/demandware.static/-/Sites-pandora-master-catalog/default/dwbb259ca6/productimages/singlepackshot/193510C01_RGB.png"/>
    <hyperlink ref="D1362" r:id="rId1361" display="https://us.pandora.net/on/demandware.static/-/Sites-pandora-master-catalog/default/dwbb259ca6/productimages/singlepackshot/193510C01_RGB.png"/>
    <hyperlink ref="D1363" r:id="rId1362" display="https://us.pandora.net/on/demandware.static/-/Sites-pandora-master-catalog/default/dwbb259ca6/productimages/singlepackshot/193510C01_RGB.png"/>
    <hyperlink ref="D1364" r:id="rId1363" display="https://us.pandora.net/on/demandware.static/-/Sites-pandora-master-catalog/default/dwbb259ca6/productimages/singlepackshot/193510C01_RGB.png"/>
    <hyperlink ref="D1365" r:id="rId1364" display="https://us.pandora.net/on/demandware.static/-/Sites-pandora-master-catalog/default/dwbb259ca6/productimages/singlepackshot/193510C01_RGB.png"/>
    <hyperlink ref="D1366" r:id="rId1365" display="https://us.pandora.net/on/demandware.static/-/Sites-pandora-master-catalog/default/dwbb259ca6/productimages/singlepackshot/193510C02_RGB.png"/>
    <hyperlink ref="D1367" r:id="rId1366" display="https://us.pandora.net/on/demandware.static/-/Sites-pandora-master-catalog/default/dwbb259ca6/productimages/singlepackshot/193510C02_RGB.png"/>
    <hyperlink ref="D1368" r:id="rId1367" display="https://us.pandora.net/on/demandware.static/-/Sites-pandora-master-catalog/default/dwbb259ca6/productimages/singlepackshot/193510C02_RGB.png"/>
    <hyperlink ref="D1369" r:id="rId1368" display="https://us.pandora.net/on/demandware.static/-/Sites-pandora-master-catalog/default/dwbb259ca6/productimages/singlepackshot/193510C02_RGB.png"/>
    <hyperlink ref="D1370" r:id="rId1369" display="https://us.pandora.net/on/demandware.static/-/Sites-pandora-master-catalog/default/dwbb259ca6/productimages/singlepackshot/193510C02_RGB.png"/>
    <hyperlink ref="D1371" r:id="rId1370" display="https://us.pandora.net/on/demandware.static/-/Sites-pandora-master-catalog/default/dwbb259ca6/productimages/singlepackshot/193510C02_RGB.png"/>
    <hyperlink ref="D1372" r:id="rId1371" display="https://us.pandora.net/on/demandware.static/-/Sites-pandora-master-catalog/default/dwbb259ca6/productimages/singlepackshot/193510C02_RGB.png"/>
    <hyperlink ref="D1373" r:id="rId1372" display="https://us.pandora.net/on/demandware.static/-/Sites-pandora-master-catalog/default/dwbb259ca6/productimages/singlepackshot/193510C03_RGB.png"/>
    <hyperlink ref="D1374" r:id="rId1373" display="https://us.pandora.net/on/demandware.static/-/Sites-pandora-master-catalog/default/dwbb259ca6/productimages/singlepackshot/193510C03_RGB.png"/>
    <hyperlink ref="D1375" r:id="rId1374" display="https://us.pandora.net/on/demandware.static/-/Sites-pandora-master-catalog/default/dwbb259ca6/productimages/singlepackshot/193510C03_RGB.png"/>
    <hyperlink ref="D1376" r:id="rId1375" display="https://us.pandora.net/on/demandware.static/-/Sites-pandora-master-catalog/default/dwbb259ca6/productimages/singlepackshot/193510C03_RGB.png"/>
    <hyperlink ref="D1377" r:id="rId1376" display="https://us.pandora.net/on/demandware.static/-/Sites-pandora-master-catalog/default/dwbb259ca6/productimages/singlepackshot/193510C03_RGB.png"/>
    <hyperlink ref="D1378" r:id="rId1377" display="https://us.pandora.net/on/demandware.static/-/Sites-pandora-master-catalog/default/dwbb259ca6/productimages/singlepackshot/193510C03_RGB.png"/>
    <hyperlink ref="D1379" r:id="rId1378" display="https://us.pandora.net/on/demandware.static/-/Sites-pandora-master-catalog/default/dwbb259ca6/productimages/singlepackshot/193510C03_RGB.png"/>
    <hyperlink ref="D1380" r:id="rId1379" display="https://us.pandora.net/on/demandware.static/-/Sites-pandora-master-catalog/default/dwbb259ca6/productimages/singlepackshot/193550C01_RGB.png"/>
    <hyperlink ref="D1381" r:id="rId1380" display="https://us.pandora.net/on/demandware.static/-/Sites-pandora-master-catalog/default/dwbb259ca6/productimages/singlepackshot/193550C01_RGB.png"/>
    <hyperlink ref="D1382" r:id="rId1381" display="https://us.pandora.net/on/demandware.static/-/Sites-pandora-master-catalog/default/dwbb259ca6/productimages/singlepackshot/193550C01_RGB.png"/>
    <hyperlink ref="D1383" r:id="rId1382" display="https://us.pandora.net/on/demandware.static/-/Sites-pandora-master-catalog/default/dwbb259ca6/productimages/singlepackshot/193550C01_RGB.png"/>
    <hyperlink ref="D1384" r:id="rId1383" display="https://us.pandora.net/on/demandware.static/-/Sites-pandora-master-catalog/default/dwbb259ca6/productimages/singlepackshot/193550C01_RGB.png"/>
    <hyperlink ref="D1385" r:id="rId1384" display="https://us.pandora.net/on/demandware.static/-/Sites-pandora-master-catalog/default/dwbb259ca6/productimages/singlepackshot/193550C01_RGB.png"/>
    <hyperlink ref="D1386" r:id="rId1385" display="https://us.pandora.net/on/demandware.static/-/Sites-pandora-master-catalog/default/dwbb259ca6/productimages/singlepackshot/193550C01_RGB.png"/>
    <hyperlink ref="D1387" r:id="rId1386" display="https://us.pandora.net/on/demandware.static/-/Sites-pandora-master-catalog/default/dwbb259ca6/productimages/singlepackshot/193552C01_RGB.png"/>
    <hyperlink ref="D1388" r:id="rId1387" display="https://us.pandora.net/on/demandware.static/-/Sites-pandora-master-catalog/default/dwbb259ca6/productimages/singlepackshot/193552C01_RGB.png"/>
    <hyperlink ref="D1389" r:id="rId1388" display="https://us.pandora.net/on/demandware.static/-/Sites-pandora-master-catalog/default/dwbb259ca6/productimages/singlepackshot/193552C01_RGB.png"/>
    <hyperlink ref="D1390" r:id="rId1389" display="https://us.pandora.net/on/demandware.static/-/Sites-pandora-master-catalog/default/dwbb259ca6/productimages/singlepackshot/193552C01_RGB.png"/>
    <hyperlink ref="D1391" r:id="rId1390" display="https://us.pandora.net/on/demandware.static/-/Sites-pandora-master-catalog/default/dwbb259ca6/productimages/singlepackshot/193552C01_RGB.png"/>
    <hyperlink ref="D1392" r:id="rId1391" display="https://us.pandora.net/on/demandware.static/-/Sites-pandora-master-catalog/default/dwbb259ca6/productimages/singlepackshot/193552C01_RGB.png"/>
    <hyperlink ref="D1393" r:id="rId1392" display="https://us.pandora.net/on/demandware.static/-/Sites-pandora-master-catalog/default/dwbb259ca6/productimages/singlepackshot/193552C01_RGB.png"/>
    <hyperlink ref="D1394" r:id="rId1393" display="https://us.pandora.net/on/demandware.static/-/Sites-pandora-master-catalog/default/dwbb259ca6/productimages/singlepackshot/193553C01_RGB.png"/>
    <hyperlink ref="D1395" r:id="rId1394" display="https://us.pandora.net/on/demandware.static/-/Sites-pandora-master-catalog/default/dwbb259ca6/productimages/singlepackshot/193553C01_RGB.png"/>
    <hyperlink ref="D1396" r:id="rId1395" display="https://us.pandora.net/on/demandware.static/-/Sites-pandora-master-catalog/default/dwbb259ca6/productimages/singlepackshot/193553C01_RGB.png"/>
    <hyperlink ref="D1397" r:id="rId1396" display="https://us.pandora.net/on/demandware.static/-/Sites-pandora-master-catalog/default/dwbb259ca6/productimages/singlepackshot/193553C01_RGB.png"/>
    <hyperlink ref="D1398" r:id="rId1397" display="https://us.pandora.net/on/demandware.static/-/Sites-pandora-master-catalog/default/dwbb259ca6/productimages/singlepackshot/193553C01_RGB.png"/>
    <hyperlink ref="D1399" r:id="rId1398" display="https://us.pandora.net/on/demandware.static/-/Sites-pandora-master-catalog/default/dwbb259ca6/productimages/singlepackshot/193553C01_RGB.png"/>
    <hyperlink ref="D1400" r:id="rId1399" display="https://us.pandora.net/on/demandware.static/-/Sites-pandora-master-catalog/default/dwbb259ca6/productimages/singlepackshot/193553C01_RGB.png"/>
    <hyperlink ref="D1401" r:id="rId1400" display="https://us.pandora.net/on/demandware.static/-/Sites-pandora-master-catalog/default/dwbb259ca6/productimages/singlepackshot/193555C01_RGB.png"/>
    <hyperlink ref="D1402" r:id="rId1401" display="https://us.pandora.net/on/demandware.static/-/Sites-pandora-master-catalog/default/dwbb259ca6/productimages/singlepackshot/193555C01_RGB.png"/>
    <hyperlink ref="D1403" r:id="rId1402" display="https://us.pandora.net/on/demandware.static/-/Sites-pandora-master-catalog/default/dwbb259ca6/productimages/singlepackshot/193555C01_RGB.png"/>
    <hyperlink ref="D1404" r:id="rId1403" display="https://us.pandora.net/on/demandware.static/-/Sites-pandora-master-catalog/default/dwbb259ca6/productimages/singlepackshot/193555C01_RGB.png"/>
    <hyperlink ref="D1405" r:id="rId1404" display="https://us.pandora.net/on/demandware.static/-/Sites-pandora-master-catalog/default/dwbb259ca6/productimages/singlepackshot/193555C01_RGB.png"/>
    <hyperlink ref="D1406" r:id="rId1405" display="https://us.pandora.net/on/demandware.static/-/Sites-pandora-master-catalog/default/dwbb259ca6/productimages/singlepackshot/193555C01_RGB.png"/>
    <hyperlink ref="D1407" r:id="rId1406" display="https://us.pandora.net/on/demandware.static/-/Sites-pandora-master-catalog/default/dwbb259ca6/productimages/singlepackshot/193555C01_RGB.png"/>
    <hyperlink ref="D1408" r:id="rId1407" display="https://us.pandora.net/on/demandware.static/-/Sites-pandora-master-catalog/default/dwbb259ca6/productimages/singlepackshot/193555C02_RGB.png"/>
    <hyperlink ref="D1409" r:id="rId1408" display="https://us.pandora.net/on/demandware.static/-/Sites-pandora-master-catalog/default/dwbb259ca6/productimages/singlepackshot/193555C02_RGB.png"/>
    <hyperlink ref="D1410" r:id="rId1409" display="https://us.pandora.net/on/demandware.static/-/Sites-pandora-master-catalog/default/dwbb259ca6/productimages/singlepackshot/193555C02_RGB.png"/>
    <hyperlink ref="D1411" r:id="rId1410" display="https://us.pandora.net/on/demandware.static/-/Sites-pandora-master-catalog/default/dwbb259ca6/productimages/singlepackshot/193555C02_RGB.png"/>
    <hyperlink ref="D1412" r:id="rId1411" display="https://us.pandora.net/on/demandware.static/-/Sites-pandora-master-catalog/default/dwbb259ca6/productimages/singlepackshot/193555C02_RGB.png"/>
    <hyperlink ref="D1413" r:id="rId1412" display="https://us.pandora.net/on/demandware.static/-/Sites-pandora-master-catalog/default/dwbb259ca6/productimages/singlepackshot/193555C02_RGB.png"/>
    <hyperlink ref="D1414" r:id="rId1413" display="https://us.pandora.net/on/demandware.static/-/Sites-pandora-master-catalog/default/dwbb259ca6/productimages/singlepackshot/193555C02_RGB.png"/>
    <hyperlink ref="D1415" r:id="rId1414" display="https://us.pandora.net/on/demandware.static/-/Sites-pandora-master-catalog/default/dwbb259ca6/productimages/singlepackshot/193556C01_RGB.png"/>
    <hyperlink ref="D1416" r:id="rId1415" display="https://us.pandora.net/on/demandware.static/-/Sites-pandora-master-catalog/default/dwbb259ca6/productimages/singlepackshot/193556C01_RGB.png"/>
    <hyperlink ref="D1417" r:id="rId1416" display="https://us.pandora.net/on/demandware.static/-/Sites-pandora-master-catalog/default/dwbb259ca6/productimages/singlepackshot/193556C01_RGB.png"/>
    <hyperlink ref="D1418" r:id="rId1417" display="https://us.pandora.net/on/demandware.static/-/Sites-pandora-master-catalog/default/dwbb259ca6/productimages/singlepackshot/193556C01_RGB.png"/>
    <hyperlink ref="D1419" r:id="rId1418" display="https://us.pandora.net/on/demandware.static/-/Sites-pandora-master-catalog/default/dwbb259ca6/productimages/singlepackshot/193556C01_RGB.png"/>
    <hyperlink ref="D1420" r:id="rId1419" display="https://us.pandora.net/on/demandware.static/-/Sites-pandora-master-catalog/default/dwbb259ca6/productimages/singlepackshot/193556C01_RGB.png"/>
    <hyperlink ref="D1421" r:id="rId1420" display="https://us.pandora.net/on/demandware.static/-/Sites-pandora-master-catalog/default/dwbb259ca6/productimages/singlepackshot/193556C01_RGB.png"/>
    <hyperlink ref="D1422" r:id="rId1421" display="https://us.pandora.net/on/demandware.static/-/Sites-pandora-master-catalog/default/dwbb259ca6/productimages/singlepackshot/193557C01_RGB.png"/>
    <hyperlink ref="D1423" r:id="rId1422" display="https://us.pandora.net/on/demandware.static/-/Sites-pandora-master-catalog/default/dwbb259ca6/productimages/singlepackshot/193557C01_RGB.png"/>
    <hyperlink ref="D1424" r:id="rId1423" display="https://us.pandora.net/on/demandware.static/-/Sites-pandora-master-catalog/default/dwbb259ca6/productimages/singlepackshot/193557C01_RGB.png"/>
    <hyperlink ref="D1425" r:id="rId1424" display="https://us.pandora.net/on/demandware.static/-/Sites-pandora-master-catalog/default/dwbb259ca6/productimages/singlepackshot/193557C01_RGB.png"/>
    <hyperlink ref="D1426" r:id="rId1425" display="https://us.pandora.net/on/demandware.static/-/Sites-pandora-master-catalog/default/dwbb259ca6/productimages/singlepackshot/193557C01_RGB.png"/>
    <hyperlink ref="D1427" r:id="rId1426" display="https://us.pandora.net/on/demandware.static/-/Sites-pandora-master-catalog/default/dwbb259ca6/productimages/singlepackshot/193557C01_RGB.png"/>
    <hyperlink ref="D1428" r:id="rId1427" display="https://us.pandora.net/on/demandware.static/-/Sites-pandora-master-catalog/default/dwbb259ca6/productimages/singlepackshot/193557C01_RGB.png"/>
    <hyperlink ref="D1429" r:id="rId1428" display="https://us.pandora.net/on/demandware.static/-/Sites-pandora-master-catalog/default/dwbb259ca6/productimages/singlepackshot/193557C01_RGB.png"/>
    <hyperlink ref="D1430" r:id="rId1429" display="https://us.pandora.net/on/demandware.static/-/Sites-pandora-master-catalog/default/dwbb259ca6/productimages/singlepackshot/193569C00_RGB.png"/>
    <hyperlink ref="D1431" r:id="rId1430" display="https://us.pandora.net/on/demandware.static/-/Sites-pandora-master-catalog/default/dwbb259ca6/productimages/singlepackshot/193569C00_RGB.png"/>
    <hyperlink ref="D1432" r:id="rId1431" display="https://us.pandora.net/on/demandware.static/-/Sites-pandora-master-catalog/default/dwbb259ca6/productimages/singlepackshot/193569C00_RGB.png"/>
    <hyperlink ref="D1433" r:id="rId1432" display="https://us.pandora.net/on/demandware.static/-/Sites-pandora-master-catalog/default/dwbb259ca6/productimages/singlepackshot/193569C00_RGB.png"/>
    <hyperlink ref="D1434" r:id="rId1433" display="https://us.pandora.net/on/demandware.static/-/Sites-pandora-master-catalog/default/dwbb259ca6/productimages/singlepackshot/193569C00_RGB.png"/>
    <hyperlink ref="D1435" r:id="rId1434" display="https://us.pandora.net/on/demandware.static/-/Sites-pandora-master-catalog/default/dwbb259ca6/productimages/singlepackshot/193569C00_RGB.png"/>
    <hyperlink ref="D1436" r:id="rId1435" display="https://us.pandora.net/on/demandware.static/-/Sites-pandora-master-catalog/default/dwbb259ca6/productimages/singlepackshot/193569C00_RGB.png"/>
    <hyperlink ref="D1437" r:id="rId1436" display="https://us.pandora.net/on/demandware.static/-/Sites-pandora-master-catalog/default/dwbb259ca6/productimages/singlepackshot/193578C01_RGB.png"/>
    <hyperlink ref="D1438" r:id="rId1437" display="https://us.pandora.net/on/demandware.static/-/Sites-pandora-master-catalog/default/dwbb259ca6/productimages/singlepackshot/193578C01_RGB.png"/>
    <hyperlink ref="D1439" r:id="rId1438" display="https://us.pandora.net/on/demandware.static/-/Sites-pandora-master-catalog/default/dwbb259ca6/productimages/singlepackshot/193578C01_RGB.png"/>
    <hyperlink ref="D1440" r:id="rId1439" display="https://us.pandora.net/on/demandware.static/-/Sites-pandora-master-catalog/default/dwbb259ca6/productimages/singlepackshot/193578C01_RGB.png"/>
    <hyperlink ref="D1441" r:id="rId1440" display="https://us.pandora.net/on/demandware.static/-/Sites-pandora-master-catalog/default/dwbb259ca6/productimages/singlepackshot/193578C01_RGB.png"/>
    <hyperlink ref="D1442" r:id="rId1441" display="https://us.pandora.net/on/demandware.static/-/Sites-pandora-master-catalog/default/dwbb259ca6/productimages/singlepackshot/193578C01_RGB.png"/>
    <hyperlink ref="D1443" r:id="rId1442" display="https://us.pandora.net/on/demandware.static/-/Sites-pandora-master-catalog/default/dwbb259ca6/productimages/singlepackshot/193578C01_RGB.png"/>
    <hyperlink ref="D1444" r:id="rId1443" display="https://us.pandora.net/on/demandware.static/-/Sites-pandora-master-catalog/default/dwbb259ca6/productimages/singlepackshot/193582C01_RGB.png"/>
    <hyperlink ref="D1445" r:id="rId1444" display="https://us.pandora.net/on/demandware.static/-/Sites-pandora-master-catalog/default/dwbb259ca6/productimages/singlepackshot/193582C01_RGB.png"/>
    <hyperlink ref="D1446" r:id="rId1445" display="https://us.pandora.net/on/demandware.static/-/Sites-pandora-master-catalog/default/dwbb259ca6/productimages/singlepackshot/193582C01_RGB.png"/>
    <hyperlink ref="D1447" r:id="rId1446" display="https://us.pandora.net/on/demandware.static/-/Sites-pandora-master-catalog/default/dwbb259ca6/productimages/singlepackshot/193582C01_RGB.png"/>
    <hyperlink ref="D1448" r:id="rId1447" display="https://us.pandora.net/on/demandware.static/-/Sites-pandora-master-catalog/default/dwbb259ca6/productimages/singlepackshot/193582C01_RGB.png"/>
    <hyperlink ref="D1449" r:id="rId1448" display="https://us.pandora.net/on/demandware.static/-/Sites-pandora-master-catalog/default/dwbb259ca6/productimages/singlepackshot/193582C01_RGB.png"/>
    <hyperlink ref="D1450" r:id="rId1449" display="https://us.pandora.net/on/demandware.static/-/Sites-pandora-master-catalog/default/dwbb259ca6/productimages/singlepackshot/193582C01_RGB.png"/>
    <hyperlink ref="D1451" r:id="rId1450" display="https://us.pandora.net/on/demandware.static/-/Sites-pandora-master-catalog/default/dwbb259ca6/productimages/singlepackshot/193619C01_RGB.png"/>
    <hyperlink ref="D1452" r:id="rId1451" display="https://us.pandora.net/on/demandware.static/-/Sites-pandora-master-catalog/default/dwbb259ca6/productimages/singlepackshot/193619C01_RGB.png"/>
    <hyperlink ref="D1453" r:id="rId1452" display="https://us.pandora.net/on/demandware.static/-/Sites-pandora-master-catalog/default/dwbb259ca6/productimages/singlepackshot/193619C01_RGB.png"/>
    <hyperlink ref="D1454" r:id="rId1453" display="https://us.pandora.net/on/demandware.static/-/Sites-pandora-master-catalog/default/dwbb259ca6/productimages/singlepackshot/193619C01_RGB.png"/>
    <hyperlink ref="D1455" r:id="rId1454" display="https://us.pandora.net/on/demandware.static/-/Sites-pandora-master-catalog/default/dwbb259ca6/productimages/singlepackshot/193619C01_RGB.png"/>
    <hyperlink ref="D1456" r:id="rId1455" display="https://us.pandora.net/on/demandware.static/-/Sites-pandora-master-catalog/default/dwbb259ca6/productimages/singlepackshot/193619C01_RGB.png"/>
    <hyperlink ref="D1457" r:id="rId1456" display="https://us.pandora.net/on/demandware.static/-/Sites-pandora-master-catalog/default/dwbb259ca6/productimages/singlepackshot/193619C01_RGB.png"/>
    <hyperlink ref="D1458" r:id="rId1457" display="https://us.pandora.net/on/demandware.static/-/Sites-pandora-master-catalog/default/dwbb259ca6/productimages/singlepackshot/193652C01_RGB.png"/>
    <hyperlink ref="D1459" r:id="rId1458" display="https://us.pandora.net/on/demandware.static/-/Sites-pandora-master-catalog/default/dwbb259ca6/productimages/singlepackshot/193652C01_RGB.png"/>
    <hyperlink ref="D1460" r:id="rId1459" display="https://us.pandora.net/on/demandware.static/-/Sites-pandora-master-catalog/default/dwbb259ca6/productimages/singlepackshot/193652C01_RGB.png"/>
    <hyperlink ref="D1461" r:id="rId1460" display="https://us.pandora.net/on/demandware.static/-/Sites-pandora-master-catalog/default/dwbb259ca6/productimages/singlepackshot/193652C01_RGB.png"/>
    <hyperlink ref="D1462" r:id="rId1461" display="https://us.pandora.net/on/demandware.static/-/Sites-pandora-master-catalog/default/dwbb259ca6/productimages/singlepackshot/193652C01_RGB.png"/>
    <hyperlink ref="D1463" r:id="rId1462" display="https://us.pandora.net/on/demandware.static/-/Sites-pandora-master-catalog/default/dwbb259ca6/productimages/singlepackshot/193652C01_RGB.png"/>
    <hyperlink ref="D1464" r:id="rId1463" display="https://us.pandora.net/on/demandware.static/-/Sites-pandora-master-catalog/default/dwbb259ca6/productimages/singlepackshot/193652C01_RGB.png"/>
    <hyperlink ref="D1465" r:id="rId1464" display="https://us.pandora.net/on/demandware.static/-/Sites-pandora-master-catalog/default/dwbb259ca6/productimages/singlepackshot/193653C01_RGB.png"/>
    <hyperlink ref="D1466" r:id="rId1465" display="https://us.pandora.net/on/demandware.static/-/Sites-pandora-master-catalog/default/dwbb259ca6/productimages/singlepackshot/193653C01_RGB.png"/>
    <hyperlink ref="D1467" r:id="rId1466" display="https://us.pandora.net/on/demandware.static/-/Sites-pandora-master-catalog/default/dwbb259ca6/productimages/singlepackshot/193653C01_RGB.png"/>
    <hyperlink ref="D1468" r:id="rId1467" display="https://us.pandora.net/on/demandware.static/-/Sites-pandora-master-catalog/default/dwbb259ca6/productimages/singlepackshot/193653C01_RGB.png"/>
    <hyperlink ref="D1469" r:id="rId1468" display="https://us.pandora.net/on/demandware.static/-/Sites-pandora-master-catalog/default/dwbb259ca6/productimages/singlepackshot/193653C01_RGB.png"/>
    <hyperlink ref="D1470" r:id="rId1469" display="https://us.pandora.net/on/demandware.static/-/Sites-pandora-master-catalog/default/dwbb259ca6/productimages/singlepackshot/193653C01_RGB.png"/>
    <hyperlink ref="D1471" r:id="rId1470" display="https://us.pandora.net/on/demandware.static/-/Sites-pandora-master-catalog/default/dwbb259ca6/productimages/singlepackshot/193653C01_RGB.png"/>
    <hyperlink ref="D1472" r:id="rId1471" display="https://us.pandora.net/on/demandware.static/-/Sites-pandora-master-catalog/default/dwbb259ca6/productimages/singlepackshot/193654C01_RGB.png"/>
    <hyperlink ref="D1473" r:id="rId1472" display="https://us.pandora.net/on/demandware.static/-/Sites-pandora-master-catalog/default/dwbb259ca6/productimages/singlepackshot/193654C01_RGB.png"/>
    <hyperlink ref="D1474" r:id="rId1473" display="https://us.pandora.net/on/demandware.static/-/Sites-pandora-master-catalog/default/dwbb259ca6/productimages/singlepackshot/193654C01_RGB.png"/>
    <hyperlink ref="D1475" r:id="rId1474" display="https://us.pandora.net/on/demandware.static/-/Sites-pandora-master-catalog/default/dwbb259ca6/productimages/singlepackshot/193654C01_RGB.png"/>
    <hyperlink ref="D1476" r:id="rId1475" display="https://us.pandora.net/on/demandware.static/-/Sites-pandora-master-catalog/default/dwbb259ca6/productimages/singlepackshot/193654C01_RGB.png"/>
    <hyperlink ref="D1477" r:id="rId1476" display="https://us.pandora.net/on/demandware.static/-/Sites-pandora-master-catalog/default/dwbb259ca6/productimages/singlepackshot/193654C01_RGB.png"/>
    <hyperlink ref="D1478" r:id="rId1477" display="https://us.pandora.net/on/demandware.static/-/Sites-pandora-master-catalog/default/dwbb259ca6/productimages/singlepackshot/193654C01_RGB.png"/>
    <hyperlink ref="D1479" r:id="rId1478" display="https://us.pandora.net/on/demandware.static/-/Sites-pandora-master-catalog/default/dwbb259ca6/productimages/singlepackshot/193659C01_RGB.png"/>
    <hyperlink ref="D1480" r:id="rId1479" display="https://us.pandora.net/on/demandware.static/-/Sites-pandora-master-catalog/default/dwbb259ca6/productimages/singlepackshot/193659C01_RGB.png"/>
    <hyperlink ref="D1481" r:id="rId1480" display="https://us.pandora.net/on/demandware.static/-/Sites-pandora-master-catalog/default/dwbb259ca6/productimages/singlepackshot/193659C01_RGB.png"/>
    <hyperlink ref="D1482" r:id="rId1481" display="https://us.pandora.net/on/demandware.static/-/Sites-pandora-master-catalog/default/dwbb259ca6/productimages/singlepackshot/193659C01_RGB.png"/>
    <hyperlink ref="D1483" r:id="rId1482" display="https://us.pandora.net/on/demandware.static/-/Sites-pandora-master-catalog/default/dwbb259ca6/productimages/singlepackshot/193659C01_RGB.png"/>
    <hyperlink ref="D1484" r:id="rId1483" display="https://us.pandora.net/on/demandware.static/-/Sites-pandora-master-catalog/default/dwbb259ca6/productimages/singlepackshot/193659C01_RGB.png"/>
    <hyperlink ref="D1485" r:id="rId1484" display="https://us.pandora.net/on/demandware.static/-/Sites-pandora-master-catalog/default/dwbb259ca6/productimages/singlepackshot/193659C01_RGB.png"/>
    <hyperlink ref="D1486" r:id="rId1485" display="https://us.pandora.net/on/demandware.static/-/Sites-pandora-master-catalog/default/dwbb259ca6/productimages/singlepackshot/193661C01_RGB.png"/>
    <hyperlink ref="D1487" r:id="rId1486" display="https://us.pandora.net/on/demandware.static/-/Sites-pandora-master-catalog/default/dwbb259ca6/productimages/singlepackshot/193661C01_RGB.png"/>
    <hyperlink ref="D1488" r:id="rId1487" display="https://us.pandora.net/on/demandware.static/-/Sites-pandora-master-catalog/default/dwbb259ca6/productimages/singlepackshot/193661C01_RGB.png"/>
    <hyperlink ref="D1489" r:id="rId1488" display="https://us.pandora.net/on/demandware.static/-/Sites-pandora-master-catalog/default/dwbb259ca6/productimages/singlepackshot/193661C01_RGB.png"/>
    <hyperlink ref="D1490" r:id="rId1489" display="https://us.pandora.net/on/demandware.static/-/Sites-pandora-master-catalog/default/dwbb259ca6/productimages/singlepackshot/193661C01_RGB.png"/>
    <hyperlink ref="D1491" r:id="rId1490" display="https://us.pandora.net/on/demandware.static/-/Sites-pandora-master-catalog/default/dwbb259ca6/productimages/singlepackshot/193661C01_RGB.png"/>
    <hyperlink ref="D1492" r:id="rId1491" display="https://us.pandora.net/on/demandware.static/-/Sites-pandora-master-catalog/default/dwbb259ca6/productimages/singlepackshot/193661C01_RGB.png"/>
    <hyperlink ref="D1493" r:id="rId1492" display="https://us.pandora.net/on/demandware.static/-/Sites-pandora-master-catalog/default/dwbb259ca6/productimages/singlepackshot/193662C01_RGB.png"/>
    <hyperlink ref="D1494" r:id="rId1493" display="https://us.pandora.net/on/demandware.static/-/Sites-pandora-master-catalog/default/dwbb259ca6/productimages/singlepackshot/193662C01_RGB.png"/>
    <hyperlink ref="D1495" r:id="rId1494" display="https://us.pandora.net/on/demandware.static/-/Sites-pandora-master-catalog/default/dwbb259ca6/productimages/singlepackshot/193662C01_RGB.png"/>
    <hyperlink ref="D1496" r:id="rId1495" display="https://us.pandora.net/on/demandware.static/-/Sites-pandora-master-catalog/default/dwbb259ca6/productimages/singlepackshot/193662C01_RGB.png"/>
    <hyperlink ref="D1497" r:id="rId1496" display="https://us.pandora.net/on/demandware.static/-/Sites-pandora-master-catalog/default/dwbb259ca6/productimages/singlepackshot/193662C01_RGB.png"/>
    <hyperlink ref="D1498" r:id="rId1497" display="https://us.pandora.net/on/demandware.static/-/Sites-pandora-master-catalog/default/dwbb259ca6/productimages/singlepackshot/193662C01_RGB.png"/>
    <hyperlink ref="D1499" r:id="rId1498" display="https://us.pandora.net/on/demandware.static/-/Sites-pandora-master-catalog/default/dwbb259ca6/productimages/singlepackshot/193662C01_RGB.png"/>
    <hyperlink ref="D1500" r:id="rId1499" display="https://us.pandora.net/on/demandware.static/-/Sites-pandora-master-catalog/default/dwbb259ca6/productimages/singlepackshot/193740C01_RGB.png"/>
    <hyperlink ref="D1501" r:id="rId1500" display="https://us.pandora.net/on/demandware.static/-/Sites-pandora-master-catalog/default/dwbb259ca6/productimages/singlepackshot/193740C01_RGB.png"/>
    <hyperlink ref="D1502" r:id="rId1501" display="https://us.pandora.net/on/demandware.static/-/Sites-pandora-master-catalog/default/dwbb259ca6/productimages/singlepackshot/193740C01_RGB.png"/>
    <hyperlink ref="D1503" r:id="rId1502" display="https://us.pandora.net/on/demandware.static/-/Sites-pandora-master-catalog/default/dwbb259ca6/productimages/singlepackshot/193740C01_RGB.png"/>
    <hyperlink ref="D1504" r:id="rId1503" display="https://us.pandora.net/on/demandware.static/-/Sites-pandora-master-catalog/default/dwbb259ca6/productimages/singlepackshot/193740C01_RGB.png"/>
    <hyperlink ref="D1505" r:id="rId1504" display="https://us.pandora.net/on/demandware.static/-/Sites-pandora-master-catalog/default/dwbb259ca6/productimages/singlepackshot/193740C01_RGB.png"/>
    <hyperlink ref="D1506" r:id="rId1505" display="https://us.pandora.net/on/demandware.static/-/Sites-pandora-master-catalog/default/dwbb259ca6/productimages/singlepackshot/193740C01_RGB.png"/>
    <hyperlink ref="D1507" r:id="rId1506" display="https://us.pandora.net/on/demandware.static/-/Sites-pandora-master-catalog/default/dwbb259ca6/productimages/singlepackshot/193759C01_RGB.png"/>
    <hyperlink ref="D1508" r:id="rId1507" display="https://us.pandora.net/on/demandware.static/-/Sites-pandora-master-catalog/default/dwbb259ca6/productimages/singlepackshot/193759C01_RGB.png"/>
    <hyperlink ref="D1509" r:id="rId1508" display="https://us.pandora.net/on/demandware.static/-/Sites-pandora-master-catalog/default/dwbb259ca6/productimages/singlepackshot/193759C01_RGB.png"/>
    <hyperlink ref="D1510" r:id="rId1509" display="https://us.pandora.net/on/demandware.static/-/Sites-pandora-master-catalog/default/dwbb259ca6/productimages/singlepackshot/193759C01_RGB.png"/>
    <hyperlink ref="D1511" r:id="rId1510" display="https://us.pandora.net/on/demandware.static/-/Sites-pandora-master-catalog/default/dwbb259ca6/productimages/singlepackshot/193759C01_RGB.png"/>
    <hyperlink ref="D1512" r:id="rId1511" display="https://us.pandora.net/on/demandware.static/-/Sites-pandora-master-catalog/default/dwbb259ca6/productimages/singlepackshot/193759C01_RGB.png"/>
    <hyperlink ref="D1513" r:id="rId1512" display="https://us.pandora.net/on/demandware.static/-/Sites-pandora-master-catalog/default/dwbb259ca6/productimages/singlepackshot/193759C01_RGB.png"/>
    <hyperlink ref="D1514" r:id="rId1513" display="https://us.pandora.net/on/demandware.static/-/Sites-pandora-master-catalog/default/dwbb259ca6/productimages/singlepackshot/193777C01_RGB.png"/>
    <hyperlink ref="D1515" r:id="rId1514" display="https://us.pandora.net/on/demandware.static/-/Sites-pandora-master-catalog/default/dwbb259ca6/productimages/singlepackshot/193777C01_RGB.png"/>
    <hyperlink ref="D1516" r:id="rId1515" display="https://us.pandora.net/on/demandware.static/-/Sites-pandora-master-catalog/default/dwbb259ca6/productimages/singlepackshot/193777C01_RGB.png"/>
    <hyperlink ref="D1517" r:id="rId1516" display="https://us.pandora.net/on/demandware.static/-/Sites-pandora-master-catalog/default/dwbb259ca6/productimages/singlepackshot/193777C01_RGB.png"/>
    <hyperlink ref="D1518" r:id="rId1517" display="https://us.pandora.net/on/demandware.static/-/Sites-pandora-master-catalog/default/dwbb259ca6/productimages/singlepackshot/193777C01_RGB.png"/>
    <hyperlink ref="D1519" r:id="rId1518" display="https://us.pandora.net/on/demandware.static/-/Sites-pandora-master-catalog/default/dwbb259ca6/productimages/singlepackshot/193777C01_RGB.png"/>
    <hyperlink ref="D1520" r:id="rId1519" display="https://us.pandora.net/on/demandware.static/-/Sites-pandora-master-catalog/default/dwbb259ca6/productimages/singlepackshot/193777C01_RGB.png"/>
    <hyperlink ref="D1521" r:id="rId1520" display="https://us.pandora.net/on/demandware.static/-/Sites-pandora-master-catalog/default/dwbb259ca6/productimages/singlepackshot/193801C01_RGB.png"/>
    <hyperlink ref="D1522" r:id="rId1521" display="https://us.pandora.net/on/demandware.static/-/Sites-pandora-master-catalog/default/dwbb259ca6/productimages/singlepackshot/193801C01_RGB.png"/>
    <hyperlink ref="D1523" r:id="rId1522" display="https://us.pandora.net/on/demandware.static/-/Sites-pandora-master-catalog/default/dwbb259ca6/productimages/singlepackshot/193801C01_RGB.png"/>
    <hyperlink ref="D1524" r:id="rId1523" display="https://us.pandora.net/on/demandware.static/-/Sites-pandora-master-catalog/default/dwbb259ca6/productimages/singlepackshot/193801C01_RGB.png"/>
    <hyperlink ref="D1525" r:id="rId1524" display="https://us.pandora.net/on/demandware.static/-/Sites-pandora-master-catalog/default/dwbb259ca6/productimages/singlepackshot/193801C01_RGB.png"/>
    <hyperlink ref="D1526" r:id="rId1525" display="https://us.pandora.net/on/demandware.static/-/Sites-pandora-master-catalog/default/dwbb259ca6/productimages/singlepackshot/193801C01_RGB.png"/>
    <hyperlink ref="D1527" r:id="rId1526" display="https://us.pandora.net/on/demandware.static/-/Sites-pandora-master-catalog/default/dwbb259ca6/productimages/singlepackshot/193801C01_RGB.png"/>
    <hyperlink ref="D1528" r:id="rId1527" display="https://us.pandora.net/on/demandware.static/-/Sites-pandora-master-catalog/default/dwbb259ca6/productimages/singlepackshot/193828C01_RGB.png"/>
    <hyperlink ref="D1529" r:id="rId1528" display="https://us.pandora.net/on/demandware.static/-/Sites-pandora-master-catalog/default/dwbb259ca6/productimages/singlepackshot/193828C01_RGB.png"/>
    <hyperlink ref="D1530" r:id="rId1529" display="https://us.pandora.net/on/demandware.static/-/Sites-pandora-master-catalog/default/dwbb259ca6/productimages/singlepackshot/193828C01_RGB.png"/>
    <hyperlink ref="D1531" r:id="rId1530" display="https://us.pandora.net/on/demandware.static/-/Sites-pandora-master-catalog/default/dwbb259ca6/productimages/singlepackshot/193828C01_RGB.png"/>
    <hyperlink ref="D1532" r:id="rId1531" display="https://us.pandora.net/on/demandware.static/-/Sites-pandora-master-catalog/default/dwbb259ca6/productimages/singlepackshot/193828C01_RGB.png"/>
    <hyperlink ref="D1533" r:id="rId1532" display="https://us.pandora.net/on/demandware.static/-/Sites-pandora-master-catalog/default/dwbb259ca6/productimages/singlepackshot/193828C01_RGB.png"/>
    <hyperlink ref="D1534" r:id="rId1533" display="https://us.pandora.net/on/demandware.static/-/Sites-pandora-master-catalog/default/dwbb259ca6/productimages/singlepackshot/193828C01_RGB.png"/>
    <hyperlink ref="D1535" r:id="rId1534" display="https://us.pandora.net/on/demandware.static/-/Sites-pandora-master-catalog/default/dwbb259ca6/productimages/singlepackshot/193886C00_RGB.png"/>
    <hyperlink ref="D1536" r:id="rId1535" display="https://us.pandora.net/on/demandware.static/-/Sites-pandora-master-catalog/default/dwbb259ca6/productimages/singlepackshot/193886C00_RGB.png"/>
    <hyperlink ref="D1537" r:id="rId1536" display="https://us.pandora.net/on/demandware.static/-/Sites-pandora-master-catalog/default/dwbb259ca6/productimages/singlepackshot/193886C00_RGB.png"/>
    <hyperlink ref="D1538" r:id="rId1537" display="https://us.pandora.net/on/demandware.static/-/Sites-pandora-master-catalog/default/dwbb259ca6/productimages/singlepackshot/193886C00_RGB.png"/>
    <hyperlink ref="D1539" r:id="rId1538" display="https://us.pandora.net/on/demandware.static/-/Sites-pandora-master-catalog/default/dwbb259ca6/productimages/singlepackshot/193886C00_RGB.png"/>
    <hyperlink ref="D1540" r:id="rId1539" display="https://us.pandora.net/on/demandware.static/-/Sites-pandora-master-catalog/default/dwbb259ca6/productimages/singlepackshot/193886C00_RGB.png"/>
    <hyperlink ref="D1541" r:id="rId1540" display="https://us.pandora.net/on/demandware.static/-/Sites-pandora-master-catalog/default/dwbb259ca6/productimages/singlepackshot/193886C00_RGB.png"/>
    <hyperlink ref="D1542" r:id="rId1541" display="https://us.pandora.net/on/demandware.static/-/Sites-pandora-master-catalog/default/dwbb259ca6/productimages/singlepackshot/193890C00_RGB.png"/>
    <hyperlink ref="D1543" r:id="rId1542" display="https://us.pandora.net/on/demandware.static/-/Sites-pandora-master-catalog/default/dwbb259ca6/productimages/singlepackshot/193890C00_RGB.png"/>
    <hyperlink ref="D1544" r:id="rId1543" display="https://us.pandora.net/on/demandware.static/-/Sites-pandora-master-catalog/default/dwbb259ca6/productimages/singlepackshot/193890C00_RGB.png"/>
    <hyperlink ref="D1545" r:id="rId1544" display="https://us.pandora.net/on/demandware.static/-/Sites-pandora-master-catalog/default/dwbb259ca6/productimages/singlepackshot/193890C00_RGB.png"/>
    <hyperlink ref="D1546" r:id="rId1545" display="https://us.pandora.net/on/demandware.static/-/Sites-pandora-master-catalog/default/dwbb259ca6/productimages/singlepackshot/193890C00_RGB.png"/>
    <hyperlink ref="D1547" r:id="rId1546" display="https://us.pandora.net/on/demandware.static/-/Sites-pandora-master-catalog/default/dwbb259ca6/productimages/singlepackshot/193890C00_RGB.png"/>
    <hyperlink ref="D1548" r:id="rId1547" display="https://us.pandora.net/on/demandware.static/-/Sites-pandora-master-catalog/default/dwbb259ca6/productimages/singlepackshot/193890C00_RGB.png"/>
    <hyperlink ref="D1549" r:id="rId1548" display="https://us.pandora.net/on/demandware.static/-/Sites-pandora-master-catalog/default/dwbb259ca6/productimages/singlepackshot/193986C00_RGB.png"/>
    <hyperlink ref="D1550" r:id="rId1549" display="https://us.pandora.net/on/demandware.static/-/Sites-pandora-master-catalog/default/dwbb259ca6/productimages/singlepackshot/193986C00_RGB.png"/>
    <hyperlink ref="D1551" r:id="rId1550" display="https://us.pandora.net/on/demandware.static/-/Sites-pandora-master-catalog/default/dwbb259ca6/productimages/singlepackshot/193986C00_RGB.png"/>
    <hyperlink ref="D1552" r:id="rId1551" display="https://us.pandora.net/on/demandware.static/-/Sites-pandora-master-catalog/default/dwbb259ca6/productimages/singlepackshot/193986C00_RGB.png"/>
    <hyperlink ref="D1553" r:id="rId1552" display="https://us.pandora.net/on/demandware.static/-/Sites-pandora-master-catalog/default/dwbb259ca6/productimages/singlepackshot/193986C00_RGB.png"/>
    <hyperlink ref="D1554" r:id="rId1553" display="https://us.pandora.net/on/demandware.static/-/Sites-pandora-master-catalog/default/dwbb259ca6/productimages/singlepackshot/193986C00_RGB.png"/>
    <hyperlink ref="D1555" r:id="rId1554" display="https://us.pandora.net/on/demandware.static/-/Sites-pandora-master-catalog/default/dwbb259ca6/productimages/singlepackshot/193986C00_RGB.png"/>
    <hyperlink ref="D1556" r:id="rId1555" display="https://us.pandora.net/on/demandware.static/-/Sites-pandora-master-catalog/default/dwbb259ca6/productimages/singlepackshot/193988C00_RGB.png"/>
    <hyperlink ref="D1557" r:id="rId1556" display="https://us.pandora.net/on/demandware.static/-/Sites-pandora-master-catalog/default/dwbb259ca6/productimages/singlepackshot/193988C00_RGB.png"/>
    <hyperlink ref="D1558" r:id="rId1557" display="https://us.pandora.net/on/demandware.static/-/Sites-pandora-master-catalog/default/dwbb259ca6/productimages/singlepackshot/193988C00_RGB.png"/>
    <hyperlink ref="D1559" r:id="rId1558" display="https://us.pandora.net/on/demandware.static/-/Sites-pandora-master-catalog/default/dwbb259ca6/productimages/singlepackshot/193988C00_RGB.png"/>
    <hyperlink ref="D1560" r:id="rId1559" display="https://us.pandora.net/on/demandware.static/-/Sites-pandora-master-catalog/default/dwbb259ca6/productimages/singlepackshot/193988C00_RGB.png"/>
    <hyperlink ref="D1561" r:id="rId1560" display="https://us.pandora.net/on/demandware.static/-/Sites-pandora-master-catalog/default/dwbb259ca6/productimages/singlepackshot/193988C00_RGB.png"/>
    <hyperlink ref="D1562" r:id="rId1561" display="https://us.pandora.net/on/demandware.static/-/Sites-pandora-master-catalog/default/dwbb259ca6/productimages/singlepackshot/193988C00_RGB.png"/>
    <hyperlink ref="D1563" r:id="rId1562" display="https://us.pandora.net/on/demandware.static/-/Sites-pandora-master-catalog/default/dwbb259ca6/productimages/singlepackshot/194134C01_RGB.png"/>
    <hyperlink ref="D1564" r:id="rId1563" display="https://us.pandora.net/on/demandware.static/-/Sites-pandora-master-catalog/default/dwbb259ca6/productimages/singlepackshot/194134C01_RGB.png"/>
    <hyperlink ref="D1565" r:id="rId1564" display="https://us.pandora.net/on/demandware.static/-/Sites-pandora-master-catalog/default/dwbb259ca6/productimages/singlepackshot/194134C01_RGB.png"/>
    <hyperlink ref="D1566" r:id="rId1565" display="https://us.pandora.net/on/demandware.static/-/Sites-pandora-master-catalog/default/dwbb259ca6/productimages/singlepackshot/194134C01_RGB.png"/>
    <hyperlink ref="D1567" r:id="rId1566" display="https://us.pandora.net/on/demandware.static/-/Sites-pandora-master-catalog/default/dwbb259ca6/productimages/singlepackshot/194134C01_RGB.png"/>
    <hyperlink ref="D1568" r:id="rId1567" display="https://us.pandora.net/on/demandware.static/-/Sites-pandora-master-catalog/default/dwbb259ca6/productimages/singlepackshot/194134C01_RGB.png"/>
    <hyperlink ref="D1569" r:id="rId1568" display="https://us.pandora.net/on/demandware.static/-/Sites-pandora-master-catalog/default/dwbb259ca6/productimages/singlepackshot/194134C01_RGB.png"/>
    <hyperlink ref="D1570" r:id="rId1569" display="https://us.pandora.net/on/demandware.static/-/Sites-pandora-master-catalog/default/dwbb259ca6/productimages/singlepackshot/194223C01_RGB.png"/>
    <hyperlink ref="D1571" r:id="rId1570" display="https://us.pandora.net/on/demandware.static/-/Sites-pandora-master-catalog/default/dwbb259ca6/productimages/singlepackshot/194223C01_RGB.png"/>
    <hyperlink ref="D1572" r:id="rId1571" display="https://us.pandora.net/on/demandware.static/-/Sites-pandora-master-catalog/default/dwbb259ca6/productimages/singlepackshot/194223C01_RGB.png"/>
    <hyperlink ref="D1573" r:id="rId1572" display="https://us.pandora.net/on/demandware.static/-/Sites-pandora-master-catalog/default/dwbb259ca6/productimages/singlepackshot/194223C01_RGB.png"/>
    <hyperlink ref="D1574" r:id="rId1573" display="https://us.pandora.net/on/demandware.static/-/Sites-pandora-master-catalog/default/dwbb259ca6/productimages/singlepackshot/194223C01_RGB.png"/>
    <hyperlink ref="D1575" r:id="rId1574" display="https://us.pandora.net/on/demandware.static/-/Sites-pandora-master-catalog/default/dwbb259ca6/productimages/singlepackshot/194223C01_RGB.png"/>
    <hyperlink ref="D1576" r:id="rId1575" display="https://us.pandora.net/on/demandware.static/-/Sites-pandora-master-catalog/default/dwbb259ca6/productimages/singlepackshot/194223C01_RGB.png"/>
    <hyperlink ref="D1577" r:id="rId1576" display="https://us.pandora.net/on/demandware.static/-/Sites-pandora-master-catalog/default/dwbb259ca6/productimages/singlepackshot/194233C01_RGB.png"/>
    <hyperlink ref="D1578" r:id="rId1577" display="https://us.pandora.net/on/demandware.static/-/Sites-pandora-master-catalog/default/dwbb259ca6/productimages/singlepackshot/194233C01_RGB.png"/>
    <hyperlink ref="D1579" r:id="rId1578" display="https://us.pandora.net/on/demandware.static/-/Sites-pandora-master-catalog/default/dwbb259ca6/productimages/singlepackshot/194233C01_RGB.png"/>
    <hyperlink ref="D1580" r:id="rId1579" display="https://us.pandora.net/on/demandware.static/-/Sites-pandora-master-catalog/default/dwbb259ca6/productimages/singlepackshot/194233C01_RGB.png"/>
    <hyperlink ref="D1581" r:id="rId1580" display="https://us.pandora.net/on/demandware.static/-/Sites-pandora-master-catalog/default/dwbb259ca6/productimages/singlepackshot/194233C01_RGB.png"/>
    <hyperlink ref="D1582" r:id="rId1581" display="https://us.pandora.net/on/demandware.static/-/Sites-pandora-master-catalog/default/dwbb259ca6/productimages/singlepackshot/194233C01_RGB.png"/>
    <hyperlink ref="D1583" r:id="rId1582" display="https://us.pandora.net/on/demandware.static/-/Sites-pandora-master-catalog/default/dwbb259ca6/productimages/singlepackshot/194233C01_RGB.png"/>
    <hyperlink ref="D1584" r:id="rId1583" display="https://us.pandora.net/on/demandware.static/-/Sites-pandora-master-catalog/default/dwbb259ca6/productimages/singlepackshot/194258C00_RGB.png"/>
    <hyperlink ref="D1585" r:id="rId1584" display="https://us.pandora.net/on/demandware.static/-/Sites-pandora-master-catalog/default/dwbb259ca6/productimages/singlepackshot/194258C00_RGB.png"/>
    <hyperlink ref="D1586" r:id="rId1585" display="https://us.pandora.net/on/demandware.static/-/Sites-pandora-master-catalog/default/dwbb259ca6/productimages/singlepackshot/194258C00_RGB.png"/>
    <hyperlink ref="D1587" r:id="rId1586" display="https://us.pandora.net/on/demandware.static/-/Sites-pandora-master-catalog/default/dwbb259ca6/productimages/singlepackshot/194258C00_RGB.png"/>
    <hyperlink ref="D1588" r:id="rId1587" display="https://us.pandora.net/on/demandware.static/-/Sites-pandora-master-catalog/default/dwbb259ca6/productimages/singlepackshot/194258C00_RGB.png"/>
    <hyperlink ref="D1589" r:id="rId1588" display="https://us.pandora.net/on/demandware.static/-/Sites-pandora-master-catalog/default/dwbb259ca6/productimages/singlepackshot/194258C00_RGB.png"/>
    <hyperlink ref="D1590" r:id="rId1589" display="https://us.pandora.net/on/demandware.static/-/Sites-pandora-master-catalog/default/dwbb259ca6/productimages/singlepackshot/194258C00_RGB.png"/>
    <hyperlink ref="D1591" r:id="rId1590" display="https://us.pandora.net/on/demandware.static/-/Sites-pandora-master-catalog/default/dwbb259ca6/productimages/singlepackshot/194269C01_RGB.png"/>
    <hyperlink ref="D1592" r:id="rId1591" display="https://us.pandora.net/on/demandware.static/-/Sites-pandora-master-catalog/default/dwbb259ca6/productimages/singlepackshot/194269C01_RGB.png"/>
    <hyperlink ref="D1593" r:id="rId1592" display="https://us.pandora.net/on/demandware.static/-/Sites-pandora-master-catalog/default/dwbb259ca6/productimages/singlepackshot/194269C01_RGB.png"/>
    <hyperlink ref="D1594" r:id="rId1593" display="https://us.pandora.net/on/demandware.static/-/Sites-pandora-master-catalog/default/dwbb259ca6/productimages/singlepackshot/194269C01_RGB.png"/>
    <hyperlink ref="D1595" r:id="rId1594" display="https://us.pandora.net/on/demandware.static/-/Sites-pandora-master-catalog/default/dwbb259ca6/productimages/singlepackshot/194269C01_RGB.png"/>
    <hyperlink ref="D1596" r:id="rId1595" display="https://us.pandora.net/on/demandware.static/-/Sites-pandora-master-catalog/default/dwbb259ca6/productimages/singlepackshot/194269C01_RGB.png"/>
    <hyperlink ref="D1597" r:id="rId1596" display="https://us.pandora.net/on/demandware.static/-/Sites-pandora-master-catalog/default/dwbb259ca6/productimages/singlepackshot/194269C01_RGB.png"/>
    <hyperlink ref="D1598" r:id="rId1597" display="https://us.pandora.net/on/demandware.static/-/Sites-pandora-master-catalog/default/dwbb259ca6/productimages/singlepackshot/194269C02_RGB.png"/>
    <hyperlink ref="D1599" r:id="rId1598" display="https://us.pandora.net/on/demandware.static/-/Sites-pandora-master-catalog/default/dwbb259ca6/productimages/singlepackshot/194269C02_RGB.png"/>
    <hyperlink ref="D1600" r:id="rId1599" display="https://us.pandora.net/on/demandware.static/-/Sites-pandora-master-catalog/default/dwbb259ca6/productimages/singlepackshot/194269C02_RGB.png"/>
    <hyperlink ref="D1601" r:id="rId1600" display="https://us.pandora.net/on/demandware.static/-/Sites-pandora-master-catalog/default/dwbb259ca6/productimages/singlepackshot/194269C02_RGB.png"/>
    <hyperlink ref="D1602" r:id="rId1601" display="https://us.pandora.net/on/demandware.static/-/Sites-pandora-master-catalog/default/dwbb259ca6/productimages/singlepackshot/194269C02_RGB.png"/>
    <hyperlink ref="D1603" r:id="rId1602" display="https://us.pandora.net/on/demandware.static/-/Sites-pandora-master-catalog/default/dwbb259ca6/productimages/singlepackshot/194269C02_RGB.png"/>
    <hyperlink ref="D1604" r:id="rId1603" display="https://us.pandora.net/on/demandware.static/-/Sites-pandora-master-catalog/default/dwbb259ca6/productimages/singlepackshot/194269C02_RGB.png"/>
    <hyperlink ref="D1605" r:id="rId1604" display="https://us.pandora.net/on/demandware.static/-/Sites-pandora-master-catalog/default/dwbb259ca6/productimages/singlepackshot/194269C03_RGB.png"/>
    <hyperlink ref="D1606" r:id="rId1605" display="https://us.pandora.net/on/demandware.static/-/Sites-pandora-master-catalog/default/dwbb259ca6/productimages/singlepackshot/194269C03_RGB.png"/>
    <hyperlink ref="D1607" r:id="rId1606" display="https://us.pandora.net/on/demandware.static/-/Sites-pandora-master-catalog/default/dwbb259ca6/productimages/singlepackshot/194269C03_RGB.png"/>
    <hyperlink ref="D1608" r:id="rId1607" display="https://us.pandora.net/on/demandware.static/-/Sites-pandora-master-catalog/default/dwbb259ca6/productimages/singlepackshot/194269C03_RGB.png"/>
    <hyperlink ref="D1609" r:id="rId1608" display="https://us.pandora.net/on/demandware.static/-/Sites-pandora-master-catalog/default/dwbb259ca6/productimages/singlepackshot/194269C03_RGB.png"/>
    <hyperlink ref="D1610" r:id="rId1609" display="https://us.pandora.net/on/demandware.static/-/Sites-pandora-master-catalog/default/dwbb259ca6/productimages/singlepackshot/194269C03_RGB.png"/>
    <hyperlink ref="D1611" r:id="rId1610" display="https://us.pandora.net/on/demandware.static/-/Sites-pandora-master-catalog/default/dwbb259ca6/productimages/singlepackshot/194269C03_RGB.png"/>
    <hyperlink ref="D1612" r:id="rId1611" display="https://us.pandora.net/on/demandware.static/-/Sites-pandora-master-catalog/default/dwbb259ca6/productimages/singlepackshot/194270C01_RGB.png"/>
    <hyperlink ref="D1613" r:id="rId1612" display="https://us.pandora.net/on/demandware.static/-/Sites-pandora-master-catalog/default/dwbb259ca6/productimages/singlepackshot/194270C01_RGB.png"/>
    <hyperlink ref="D1614" r:id="rId1613" display="https://us.pandora.net/on/demandware.static/-/Sites-pandora-master-catalog/default/dwbb259ca6/productimages/singlepackshot/194270C01_RGB.png"/>
    <hyperlink ref="D1615" r:id="rId1614" display="https://us.pandora.net/on/demandware.static/-/Sites-pandora-master-catalog/default/dwbb259ca6/productimages/singlepackshot/194270C01_RGB.png"/>
    <hyperlink ref="D1616" r:id="rId1615" display="https://us.pandora.net/on/demandware.static/-/Sites-pandora-master-catalog/default/dwbb259ca6/productimages/singlepackshot/194270C01_RGB.png"/>
    <hyperlink ref="D1617" r:id="rId1616" display="https://us.pandora.net/on/demandware.static/-/Sites-pandora-master-catalog/default/dwbb259ca6/productimages/singlepackshot/194270C01_RGB.png"/>
    <hyperlink ref="D1618" r:id="rId1617" display="https://us.pandora.net/on/demandware.static/-/Sites-pandora-master-catalog/default/dwbb259ca6/productimages/singlepackshot/194270C01_RGB.png"/>
    <hyperlink ref="D1619" r:id="rId1618" display="https://us.pandora.net/on/demandware.static/-/Sites-pandora-master-catalog/default/dwbb259ca6/productimages/singlepackshot/196242CZ_RGB.png"/>
    <hyperlink ref="D1620" r:id="rId1619" display="https://us.pandora.net/on/demandware.static/-/Sites-pandora-master-catalog/default/dwbb259ca6/productimages/singlepackshot/196242CZ_RGB.png"/>
    <hyperlink ref="D1621" r:id="rId1620" display="https://us.pandora.net/on/demandware.static/-/Sites-pandora-master-catalog/default/dwbb259ca6/productimages/singlepackshot/196242CZ_RGB.png"/>
    <hyperlink ref="D1622" r:id="rId1621" display="https://us.pandora.net/on/demandware.static/-/Sites-pandora-master-catalog/default/dwbb259ca6/productimages/singlepackshot/196242CZ_RGB.png"/>
    <hyperlink ref="D1623" r:id="rId1622" display="https://us.pandora.net/on/demandware.static/-/Sites-pandora-master-catalog/default/dwbb259ca6/productimages/singlepackshot/196242CZ_RGB.png"/>
    <hyperlink ref="D1624" r:id="rId1623" display="https://us.pandora.net/on/demandware.static/-/Sites-pandora-master-catalog/default/dwbb259ca6/productimages/singlepackshot/196242CZ_RGB.png"/>
    <hyperlink ref="D1625" r:id="rId1624" display="https://us.pandora.net/on/demandware.static/-/Sites-pandora-master-catalog/default/dwbb259ca6/productimages/singlepackshot/196242CZ_RGB.png"/>
    <hyperlink ref="D1626" r:id="rId1625" display="https://us.pandora.net/on/demandware.static/-/Sites-pandora-master-catalog/default/dwbb259ca6/productimages/singlepackshot/196250CZ_RGB.png"/>
    <hyperlink ref="D1627" r:id="rId1626" display="https://us.pandora.net/on/demandware.static/-/Sites-pandora-master-catalog/default/dwbb259ca6/productimages/singlepackshot/196250CZ_RGB.png"/>
    <hyperlink ref="D1628" r:id="rId1627" display="https://us.pandora.net/on/demandware.static/-/Sites-pandora-master-catalog/default/dwbb259ca6/productimages/singlepackshot/196250CZ_RGB.png"/>
    <hyperlink ref="D1629" r:id="rId1628" display="https://us.pandora.net/on/demandware.static/-/Sites-pandora-master-catalog/default/dwbb259ca6/productimages/singlepackshot/196250CZ_RGB.png"/>
    <hyperlink ref="D1630" r:id="rId1629" display="https://us.pandora.net/on/demandware.static/-/Sites-pandora-master-catalog/default/dwbb259ca6/productimages/singlepackshot/196250CZ_RGB.png"/>
    <hyperlink ref="D1631" r:id="rId1630" display="https://us.pandora.net/on/demandware.static/-/Sites-pandora-master-catalog/default/dwbb259ca6/productimages/singlepackshot/196250CZ_RGB.png"/>
    <hyperlink ref="D1632" r:id="rId1631" display="https://us.pandora.net/on/demandware.static/-/Sites-pandora-master-catalog/default/dwbb259ca6/productimages/singlepackshot/196250CZ_RGB.png"/>
    <hyperlink ref="D1633" r:id="rId1632" display="https://us.pandora.net/on/demandware.static/-/Sites-pandora-master-catalog/default/dwbb259ca6/productimages/singlepackshot/196314_RGB.png"/>
    <hyperlink ref="D1634" r:id="rId1633" display="https://us.pandora.net/on/demandware.static/-/Sites-pandora-master-catalog/default/dwbb259ca6/productimages/singlepackshot/196314_RGB.png"/>
    <hyperlink ref="D1635" r:id="rId1634" display="https://us.pandora.net/on/demandware.static/-/Sites-pandora-master-catalog/default/dwbb259ca6/productimages/singlepackshot/196314_RGB.png"/>
    <hyperlink ref="D1636" r:id="rId1635" display="https://us.pandora.net/on/demandware.static/-/Sites-pandora-master-catalog/default/dwbb259ca6/productimages/singlepackshot/196314_RGB.png"/>
    <hyperlink ref="D1637" r:id="rId1636" display="https://us.pandora.net/on/demandware.static/-/Sites-pandora-master-catalog/default/dwbb259ca6/productimages/singlepackshot/196314_RGB.png"/>
    <hyperlink ref="D1638" r:id="rId1637" display="https://us.pandora.net/on/demandware.static/-/Sites-pandora-master-catalog/default/dwbb259ca6/productimages/singlepackshot/196314_RGB.png"/>
    <hyperlink ref="D1639" r:id="rId1638" display="https://us.pandora.net/on/demandware.static/-/Sites-pandora-master-catalog/default/dwbb259ca6/productimages/singlepackshot/196314_RGB.png"/>
    <hyperlink ref="D1640" r:id="rId1639" display="https://us.pandora.net/on/demandware.static/-/Sites-pandora-master-catalog/default/dwbb259ca6/productimages/singlepackshot/196314_RGB.png"/>
    <hyperlink ref="D1641" r:id="rId1640" display="https://us.pandora.net/on/demandware.static/-/Sites-pandora-master-catalog/default/dwbb259ca6/productimages/singlepackshot/196314_RGB.png"/>
    <hyperlink ref="D1642" r:id="rId1641" display="https://us.pandora.net/on/demandware.static/-/Sites-pandora-master-catalog/default/dwbb259ca6/productimages/singlepackshot/196316C02_RGB.png"/>
    <hyperlink ref="D1643" r:id="rId1642" display="https://us.pandora.net/on/demandware.static/-/Sites-pandora-master-catalog/default/dwbb259ca6/productimages/singlepackshot/196316C02_RGB.png"/>
    <hyperlink ref="D1644" r:id="rId1643" display="https://us.pandora.net/on/demandware.static/-/Sites-pandora-master-catalog/default/dwbb259ca6/productimages/singlepackshot/196316C02_RGB.png"/>
    <hyperlink ref="D1645" r:id="rId1644" display="https://us.pandora.net/on/demandware.static/-/Sites-pandora-master-catalog/default/dwbb259ca6/productimages/singlepackshot/196316C02_RGB.png"/>
    <hyperlink ref="D1646" r:id="rId1645" display="https://us.pandora.net/on/demandware.static/-/Sites-pandora-master-catalog/default/dwbb259ca6/productimages/singlepackshot/196316C02_RGB.png"/>
    <hyperlink ref="D1647" r:id="rId1646" display="https://us.pandora.net/on/demandware.static/-/Sites-pandora-master-catalog/default/dwbb259ca6/productimages/singlepackshot/196316C02_RGB.png"/>
    <hyperlink ref="D1648" r:id="rId1647" display="https://us.pandora.net/on/demandware.static/-/Sites-pandora-master-catalog/default/dwbb259ca6/productimages/singlepackshot/196316C02_RGB.png"/>
    <hyperlink ref="D1649" r:id="rId1648" display="https://us.pandora.net/on/demandware.static/-/Sites-pandora-master-catalog/default/dwbb259ca6/productimages/singlepackshot/196316C02_RGB.png"/>
    <hyperlink ref="D1650" r:id="rId1649" display="https://us.pandora.net/on/demandware.static/-/Sites-pandora-master-catalog/default/dwbb259ca6/productimages/singlepackshot/196316CZ_RGB.png"/>
    <hyperlink ref="D1651" r:id="rId1650" display="https://us.pandora.net/on/demandware.static/-/Sites-pandora-master-catalog/default/dwbb259ca6/productimages/singlepackshot/196316CZ_RGB.png"/>
    <hyperlink ref="D1652" r:id="rId1651" display="https://us.pandora.net/on/demandware.static/-/Sites-pandora-master-catalog/default/dwbb259ca6/productimages/singlepackshot/196316CZ_RGB.png"/>
    <hyperlink ref="D1653" r:id="rId1652" display="https://us.pandora.net/on/demandware.static/-/Sites-pandora-master-catalog/default/dwbb259ca6/productimages/singlepackshot/196316CZ_RGB.png"/>
    <hyperlink ref="D1654" r:id="rId1653" display="https://us.pandora.net/on/demandware.static/-/Sites-pandora-master-catalog/default/dwbb259ca6/productimages/singlepackshot/196316CZ_RGB.png"/>
    <hyperlink ref="D1655" r:id="rId1654" display="https://us.pandora.net/on/demandware.static/-/Sites-pandora-master-catalog/default/dwbb259ca6/productimages/singlepackshot/196316CZ_RGB.png"/>
    <hyperlink ref="D1656" r:id="rId1655" display="https://us.pandora.net/on/demandware.static/-/Sites-pandora-master-catalog/default/dwbb259ca6/productimages/singlepackshot/196316CZ_RGB.png"/>
    <hyperlink ref="D1657" r:id="rId1656" display="https://us.pandora.net/on/demandware.static/-/Sites-pandora-master-catalog/default/dwbb259ca6/productimages/singlepackshot/196316CZ_RGB.png"/>
    <hyperlink ref="D1658" r:id="rId1657" display="https://us.pandora.net/on/demandware.static/-/Sites-pandora-master-catalog/default/dwbb259ca6/productimages/singlepackshot/196574CZRMX_RGB.png"/>
    <hyperlink ref="D1659" r:id="rId1658" display="https://us.pandora.net/on/demandware.static/-/Sites-pandora-master-catalog/default/dwbb259ca6/productimages/singlepackshot/196574CZRMX_RGB.png"/>
    <hyperlink ref="D1660" r:id="rId1659" display="https://us.pandora.net/on/demandware.static/-/Sites-pandora-master-catalog/default/dwbb259ca6/productimages/singlepackshot/196574CZRMX_RGB.png"/>
    <hyperlink ref="D1661" r:id="rId1660" display="https://us.pandora.net/on/demandware.static/-/Sites-pandora-master-catalog/default/dwbb259ca6/productimages/singlepackshot/196574CZRMX_RGB.png"/>
    <hyperlink ref="D1662" r:id="rId1661" display="https://us.pandora.net/on/demandware.static/-/Sites-pandora-master-catalog/default/dwbb259ca6/productimages/singlepackshot/196574CZRMX_RGB.png"/>
    <hyperlink ref="D1663" r:id="rId1662" display="https://us.pandora.net/on/demandware.static/-/Sites-pandora-master-catalog/default/dwbb259ca6/productimages/singlepackshot/196574CZRMX_RGB.png"/>
    <hyperlink ref="D1664" r:id="rId1663" display="https://us.pandora.net/on/demandware.static/-/Sites-pandora-master-catalog/default/dwbb259ca6/productimages/singlepackshot/196574CZRMX_RGB.png"/>
    <hyperlink ref="D1665" r:id="rId1664" display="https://us.pandora.net/on/demandware.static/-/Sites-pandora-master-catalog/default/dwbb259ca6/productimages/singlepackshot/197681_RGB.png"/>
    <hyperlink ref="D1666" r:id="rId1665" display="https://us.pandora.net/on/demandware.static/-/Sites-pandora-master-catalog/default/dwbb259ca6/productimages/singlepackshot/197681_RGB.png"/>
    <hyperlink ref="D1667" r:id="rId1666" display="https://us.pandora.net/on/demandware.static/-/Sites-pandora-master-catalog/default/dwbb259ca6/productimages/singlepackshot/197681_RGB.png"/>
    <hyperlink ref="D1668" r:id="rId1667" display="https://us.pandora.net/on/demandware.static/-/Sites-pandora-master-catalog/default/dwbb259ca6/productimages/singlepackshot/197681_RGB.png"/>
    <hyperlink ref="D1669" r:id="rId1668" display="https://us.pandora.net/on/demandware.static/-/Sites-pandora-master-catalog/default/dwbb259ca6/productimages/singlepackshot/197681_RGB.png"/>
    <hyperlink ref="D1670" r:id="rId1669" display="https://us.pandora.net/on/demandware.static/-/Sites-pandora-master-catalog/default/dwbb259ca6/productimages/singlepackshot/197681_RGB.png"/>
    <hyperlink ref="D1671" r:id="rId1670" display="https://us.pandora.net/on/demandware.static/-/Sites-pandora-master-catalog/default/dwbb259ca6/productimages/singlepackshot/197681_RGB.png"/>
    <hyperlink ref="D1672" r:id="rId1671" display="https://us.pandora.net/on/demandware.static/-/Sites-pandora-master-catalog/default/dwbb259ca6/productimages/singlepackshot/197736CZ_RGB.png"/>
    <hyperlink ref="D1673" r:id="rId1672" display="https://us.pandora.net/on/demandware.static/-/Sites-pandora-master-catalog/default/dwbb259ca6/productimages/singlepackshot/197736CZ_RGB.png"/>
    <hyperlink ref="D1674" r:id="rId1673" display="https://us.pandora.net/on/demandware.static/-/Sites-pandora-master-catalog/default/dwbb259ca6/productimages/singlepackshot/197736CZ_RGB.png"/>
    <hyperlink ref="D1675" r:id="rId1674" display="https://us.pandora.net/on/demandware.static/-/Sites-pandora-master-catalog/default/dwbb259ca6/productimages/singlepackshot/197736CZ_RGB.png"/>
    <hyperlink ref="D1676" r:id="rId1675" display="https://us.pandora.net/on/demandware.static/-/Sites-pandora-master-catalog/default/dwbb259ca6/productimages/singlepackshot/197736CZ_RGB.png"/>
    <hyperlink ref="D1677" r:id="rId1676" display="https://us.pandora.net/on/demandware.static/-/Sites-pandora-master-catalog/default/dwbb259ca6/productimages/singlepackshot/197736CZ_RGB.png"/>
    <hyperlink ref="D1678" r:id="rId1677" display="https://us.pandora.net/on/demandware.static/-/Sites-pandora-master-catalog/default/dwbb259ca6/productimages/singlepackshot/197736CZ_RGB.png"/>
    <hyperlink ref="D1679" r:id="rId1678" display="https://us.pandora.net/on/demandware.static/-/Sites-pandora-master-catalog/default/dwbb259ca6/productimages/singlepackshot/198018_RGB.png"/>
    <hyperlink ref="D1680" r:id="rId1679" display="https://us.pandora.net/on/demandware.static/-/Sites-pandora-master-catalog/default/dwbb259ca6/productimages/singlepackshot/198018_RGB.png"/>
    <hyperlink ref="D1681" r:id="rId1680" display="https://us.pandora.net/on/demandware.static/-/Sites-pandora-master-catalog/default/dwbb259ca6/productimages/singlepackshot/198018_RGB.png"/>
    <hyperlink ref="D1682" r:id="rId1681" display="https://us.pandora.net/on/demandware.static/-/Sites-pandora-master-catalog/default/dwbb259ca6/productimages/singlepackshot/198018_RGB.png"/>
    <hyperlink ref="D1683" r:id="rId1682" display="https://us.pandora.net/on/demandware.static/-/Sites-pandora-master-catalog/default/dwbb259ca6/productimages/singlepackshot/198018_RGB.png"/>
    <hyperlink ref="D1684" r:id="rId1683" display="https://us.pandora.net/on/demandware.static/-/Sites-pandora-master-catalog/default/dwbb259ca6/productimages/singlepackshot/198018_RGB.png"/>
    <hyperlink ref="D1685" r:id="rId1684" display="https://us.pandora.net/on/demandware.static/-/Sites-pandora-master-catalog/default/dwbb259ca6/productimages/singlepackshot/198018_RGB.png"/>
    <hyperlink ref="D1686" r:id="rId1685" display="https://us.pandora.net/on/demandware.static/-/Sites-pandora-master-catalog/default/dwbb259ca6/productimages/singlepackshot/198282CZ_RGB.png"/>
    <hyperlink ref="D1687" r:id="rId1686" display="https://us.pandora.net/on/demandware.static/-/Sites-pandora-master-catalog/default/dwbb259ca6/productimages/singlepackshot/198282CZ_RGB.png"/>
    <hyperlink ref="D1688" r:id="rId1687" display="https://us.pandora.net/on/demandware.static/-/Sites-pandora-master-catalog/default/dwbb259ca6/productimages/singlepackshot/198282CZ_RGB.png"/>
    <hyperlink ref="D1689" r:id="rId1688" display="https://us.pandora.net/on/demandware.static/-/Sites-pandora-master-catalog/default/dwbb259ca6/productimages/singlepackshot/198282CZ_RGB.png"/>
    <hyperlink ref="D1690" r:id="rId1689" display="https://us.pandora.net/on/demandware.static/-/Sites-pandora-master-catalog/default/dwbb259ca6/productimages/singlepackshot/198282CZ_RGB.png"/>
    <hyperlink ref="D1691" r:id="rId1690" display="https://us.pandora.net/on/demandware.static/-/Sites-pandora-master-catalog/default/dwbb259ca6/productimages/singlepackshot/198282CZ_RGB.png"/>
    <hyperlink ref="D1692" r:id="rId1691" display="https://us.pandora.net/on/demandware.static/-/Sites-pandora-master-catalog/default/dwbb259ca6/productimages/singlepackshot/198282CZ_RGB.png"/>
    <hyperlink ref="D1693" r:id="rId1692" display="https://us.pandora.net/on/demandware.static/-/Sites-pandora-master-catalog/default/dwbb259ca6/productimages/singlepackshot/198289CZ_RGB.png"/>
    <hyperlink ref="D1694" r:id="rId1693" display="https://us.pandora.net/on/demandware.static/-/Sites-pandora-master-catalog/default/dwbb259ca6/productimages/singlepackshot/198289CZ_RGB.png"/>
    <hyperlink ref="D1695" r:id="rId1694" display="https://us.pandora.net/on/demandware.static/-/Sites-pandora-master-catalog/default/dwbb259ca6/productimages/singlepackshot/198289CZ_RGB.png"/>
    <hyperlink ref="D1696" r:id="rId1695" display="https://us.pandora.net/on/demandware.static/-/Sites-pandora-master-catalog/default/dwbb259ca6/productimages/singlepackshot/198289CZ_RGB.png"/>
    <hyperlink ref="D1697" r:id="rId1696" display="https://us.pandora.net/on/demandware.static/-/Sites-pandora-master-catalog/default/dwbb259ca6/productimages/singlepackshot/198289CZ_RGB.png"/>
    <hyperlink ref="D1698" r:id="rId1697" display="https://us.pandora.net/on/demandware.static/-/Sites-pandora-master-catalog/default/dwbb259ca6/productimages/singlepackshot/198289CZ_RGB.png"/>
    <hyperlink ref="D1699" r:id="rId1698" display="https://us.pandora.net/on/demandware.static/-/Sites-pandora-master-catalog/default/dwbb259ca6/productimages/singlepackshot/198289CZ_RGB.png"/>
    <hyperlink ref="D1700" r:id="rId1699" display="https://us.pandora.net/on/demandware.static/-/Sites-pandora-master-catalog/default/dwbb259ca6/productimages/singlepackshot/198421C01_RGB.png"/>
    <hyperlink ref="D1701" r:id="rId1700" display="https://us.pandora.net/on/demandware.static/-/Sites-pandora-master-catalog/default/dwbb259ca6/productimages/singlepackshot/198421C01_RGB.png"/>
    <hyperlink ref="D1702" r:id="rId1701" display="https://us.pandora.net/on/demandware.static/-/Sites-pandora-master-catalog/default/dwbb259ca6/productimages/singlepackshot/198421C01_RGB.png"/>
    <hyperlink ref="D1703" r:id="rId1702" display="https://us.pandora.net/on/demandware.static/-/Sites-pandora-master-catalog/default/dwbb259ca6/productimages/singlepackshot/198421C01_RGB.png"/>
    <hyperlink ref="D1704" r:id="rId1703" display="https://us.pandora.net/on/demandware.static/-/Sites-pandora-master-catalog/default/dwbb259ca6/productimages/singlepackshot/198421C01_RGB.png"/>
    <hyperlink ref="D1705" r:id="rId1704" display="https://us.pandora.net/on/demandware.static/-/Sites-pandora-master-catalog/default/dwbb259ca6/productimages/singlepackshot/198421C01_RGB.png"/>
    <hyperlink ref="D1706" r:id="rId1705" display="https://us.pandora.net/on/demandware.static/-/Sites-pandora-master-catalog/default/dwbb259ca6/productimages/singlepackshot/198421C01_RGB.png"/>
    <hyperlink ref="D1707" r:id="rId1706" display="https://us.pandora.net/on/demandware.static/-/Sites-pandora-master-catalog/default/dwbb259ca6/productimages/singlepackshot/198421C01_RGB.png"/>
    <hyperlink ref="D1708" r:id="rId1707" display="https://us.pandora.net/on/demandware.static/-/Sites-pandora-master-catalog/default/dwbb259ca6/productimages/singlepackshot/198421C02_RGB.png"/>
    <hyperlink ref="D1709" r:id="rId1708" display="https://us.pandora.net/on/demandware.static/-/Sites-pandora-master-catalog/default/dwbb259ca6/productimages/singlepackshot/198421C02_RGB.png"/>
    <hyperlink ref="D1710" r:id="rId1709" display="https://us.pandora.net/on/demandware.static/-/Sites-pandora-master-catalog/default/dwbb259ca6/productimages/singlepackshot/198421C02_RGB.png"/>
    <hyperlink ref="D1711" r:id="rId1710" display="https://us.pandora.net/on/demandware.static/-/Sites-pandora-master-catalog/default/dwbb259ca6/productimages/singlepackshot/198421C02_RGB.png"/>
    <hyperlink ref="D1712" r:id="rId1711" display="https://us.pandora.net/on/demandware.static/-/Sites-pandora-master-catalog/default/dwbb259ca6/productimages/singlepackshot/198421C02_RGB.png"/>
    <hyperlink ref="D1713" r:id="rId1712" display="https://us.pandora.net/on/demandware.static/-/Sites-pandora-master-catalog/default/dwbb259ca6/productimages/singlepackshot/198421C02_RGB.png"/>
    <hyperlink ref="D1714" r:id="rId1713" display="https://us.pandora.net/on/demandware.static/-/Sites-pandora-master-catalog/default/dwbb259ca6/productimages/singlepackshot/198421C02_RGB.png"/>
    <hyperlink ref="D1715" r:id="rId1714" display="https://us.pandora.net/on/demandware.static/-/Sites-pandora-master-catalog/default/dwbb259ca6/productimages/singlepackshot/198421C02_RGB.png"/>
    <hyperlink ref="D1716" r:id="rId1715" display="https://us.pandora.net/on/demandware.static/-/Sites-pandora-master-catalog/default/dwbb259ca6/productimages/singlepackshot/198421C03_RGB.png"/>
    <hyperlink ref="D1717" r:id="rId1716" display="https://us.pandora.net/on/demandware.static/-/Sites-pandora-master-catalog/default/dwbb259ca6/productimages/singlepackshot/198421C03_RGB.png"/>
    <hyperlink ref="D1718" r:id="rId1717" display="https://us.pandora.net/on/demandware.static/-/Sites-pandora-master-catalog/default/dwbb259ca6/productimages/singlepackshot/198421C03_RGB.png"/>
    <hyperlink ref="D1719" r:id="rId1718" display="https://us.pandora.net/on/demandware.static/-/Sites-pandora-master-catalog/default/dwbb259ca6/productimages/singlepackshot/198421C03_RGB.png"/>
    <hyperlink ref="D1720" r:id="rId1719" display="https://us.pandora.net/on/demandware.static/-/Sites-pandora-master-catalog/default/dwbb259ca6/productimages/singlepackshot/198421C03_RGB.png"/>
    <hyperlink ref="D1721" r:id="rId1720" display="https://us.pandora.net/on/demandware.static/-/Sites-pandora-master-catalog/default/dwbb259ca6/productimages/singlepackshot/198421C03_RGB.png"/>
    <hyperlink ref="D1722" r:id="rId1721" display="https://us.pandora.net/on/demandware.static/-/Sites-pandora-master-catalog/default/dwbb259ca6/productimages/singlepackshot/198421C03_RGB.png"/>
    <hyperlink ref="D1723" r:id="rId1722" display="https://us.pandora.net/on/demandware.static/-/Sites-pandora-master-catalog/default/dwbb259ca6/productimages/singlepackshot/198421C04_RGB.png"/>
    <hyperlink ref="D1724" r:id="rId1723" display="https://us.pandora.net/on/demandware.static/-/Sites-pandora-master-catalog/default/dwbb259ca6/productimages/singlepackshot/198421C04_RGB.png"/>
    <hyperlink ref="D1725" r:id="rId1724" display="https://us.pandora.net/on/demandware.static/-/Sites-pandora-master-catalog/default/dwbb259ca6/productimages/singlepackshot/198421C04_RGB.png"/>
    <hyperlink ref="D1726" r:id="rId1725" display="https://us.pandora.net/on/demandware.static/-/Sites-pandora-master-catalog/default/dwbb259ca6/productimages/singlepackshot/198421C04_RGB.png"/>
    <hyperlink ref="D1727" r:id="rId1726" display="https://us.pandora.net/on/demandware.static/-/Sites-pandora-master-catalog/default/dwbb259ca6/productimages/singlepackshot/198421C04_RGB.png"/>
    <hyperlink ref="D1728" r:id="rId1727" display="https://us.pandora.net/on/demandware.static/-/Sites-pandora-master-catalog/default/dwbb259ca6/productimages/singlepackshot/198421C04_RGB.png"/>
    <hyperlink ref="D1729" r:id="rId1728" display="https://us.pandora.net/on/demandware.static/-/Sites-pandora-master-catalog/default/dwbb259ca6/productimages/singlepackshot/198421C04_RGB.png"/>
    <hyperlink ref="D1730" r:id="rId1729" display="https://us.pandora.net/on/demandware.static/-/Sites-pandora-master-catalog/default/dwbb259ca6/productimages/singlepackshot/198421C05_RGB.png"/>
    <hyperlink ref="D1731" r:id="rId1730" display="https://us.pandora.net/on/demandware.static/-/Sites-pandora-master-catalog/default/dwbb259ca6/productimages/singlepackshot/198421C05_RGB.png"/>
    <hyperlink ref="D1732" r:id="rId1731" display="https://us.pandora.net/on/demandware.static/-/Sites-pandora-master-catalog/default/dwbb259ca6/productimages/singlepackshot/198421C05_RGB.png"/>
    <hyperlink ref="D1733" r:id="rId1732" display="https://us.pandora.net/on/demandware.static/-/Sites-pandora-master-catalog/default/dwbb259ca6/productimages/singlepackshot/198421C05_RGB.png"/>
    <hyperlink ref="D1734" r:id="rId1733" display="https://us.pandora.net/on/demandware.static/-/Sites-pandora-master-catalog/default/dwbb259ca6/productimages/singlepackshot/198421C05_RGB.png"/>
    <hyperlink ref="D1735" r:id="rId1734" display="https://us.pandora.net/on/demandware.static/-/Sites-pandora-master-catalog/default/dwbb259ca6/productimages/singlepackshot/198421C05_RGB.png"/>
    <hyperlink ref="D1736" r:id="rId1735" display="https://us.pandora.net/on/demandware.static/-/Sites-pandora-master-catalog/default/dwbb259ca6/productimages/singlepackshot/198421C05_RGB.png"/>
    <hyperlink ref="D1737" r:id="rId1736" display="https://us.pandora.net/on/demandware.static/-/Sites-pandora-master-catalog/default/dwbb259ca6/productimages/singlepackshot/198421C06_RGB.png"/>
    <hyperlink ref="D1738" r:id="rId1737" display="https://us.pandora.net/on/demandware.static/-/Sites-pandora-master-catalog/default/dwbb259ca6/productimages/singlepackshot/198421C06_RGB.png"/>
    <hyperlink ref="D1739" r:id="rId1738" display="https://us.pandora.net/on/demandware.static/-/Sites-pandora-master-catalog/default/dwbb259ca6/productimages/singlepackshot/198421C06_RGB.png"/>
    <hyperlink ref="D1740" r:id="rId1739" display="https://us.pandora.net/on/demandware.static/-/Sites-pandora-master-catalog/default/dwbb259ca6/productimages/singlepackshot/198421C06_RGB.png"/>
    <hyperlink ref="D1741" r:id="rId1740" display="https://us.pandora.net/on/demandware.static/-/Sites-pandora-master-catalog/default/dwbb259ca6/productimages/singlepackshot/198421C06_RGB.png"/>
    <hyperlink ref="D1742" r:id="rId1741" display="https://us.pandora.net/on/demandware.static/-/Sites-pandora-master-catalog/default/dwbb259ca6/productimages/singlepackshot/198421C06_RGB.png"/>
    <hyperlink ref="D1743" r:id="rId1742" display="https://us.pandora.net/on/demandware.static/-/Sites-pandora-master-catalog/default/dwbb259ca6/productimages/singlepackshot/198421C06_RGB.png"/>
    <hyperlink ref="D1744" r:id="rId1743" display="https://us.pandora.net/on/demandware.static/-/Sites-pandora-master-catalog/default/dwbb259ca6/productimages/singlepackshot/198492C01_RGB.png"/>
    <hyperlink ref="D1745" r:id="rId1744" display="https://us.pandora.net/on/demandware.static/-/Sites-pandora-master-catalog/default/dwbb259ca6/productimages/singlepackshot/198492C01_RGB.png"/>
    <hyperlink ref="D1746" r:id="rId1745" display="https://us.pandora.net/on/demandware.static/-/Sites-pandora-master-catalog/default/dwbb259ca6/productimages/singlepackshot/198492C01_RGB.png"/>
    <hyperlink ref="D1747" r:id="rId1746" display="https://us.pandora.net/on/demandware.static/-/Sites-pandora-master-catalog/default/dwbb259ca6/productimages/singlepackshot/198492C01_RGB.png"/>
    <hyperlink ref="D1748" r:id="rId1747" display="https://us.pandora.net/on/demandware.static/-/Sites-pandora-master-catalog/default/dwbb259ca6/productimages/singlepackshot/198492C01_RGB.png"/>
    <hyperlink ref="D1749" r:id="rId1748" display="https://us.pandora.net/on/demandware.static/-/Sites-pandora-master-catalog/default/dwbb259ca6/productimages/singlepackshot/198492C01_RGB.png"/>
    <hyperlink ref="D1750" r:id="rId1749" display="https://us.pandora.net/on/demandware.static/-/Sites-pandora-master-catalog/default/dwbb259ca6/productimages/singlepackshot/198492C01_RGB.png"/>
    <hyperlink ref="D1751" r:id="rId1750" display="https://us.pandora.net/on/demandware.static/-/Sites-pandora-master-catalog/default/dwbb259ca6/productimages/singlepackshot/198691C01_RGB.png"/>
    <hyperlink ref="D1752" r:id="rId1751" display="https://us.pandora.net/on/demandware.static/-/Sites-pandora-master-catalog/default/dwbb259ca6/productimages/singlepackshot/198691C01_RGB.png"/>
    <hyperlink ref="D1753" r:id="rId1752" display="https://us.pandora.net/on/demandware.static/-/Sites-pandora-master-catalog/default/dwbb259ca6/productimages/singlepackshot/198691C01_RGB.png"/>
    <hyperlink ref="D1754" r:id="rId1753" display="https://us.pandora.net/on/demandware.static/-/Sites-pandora-master-catalog/default/dwbb259ca6/productimages/singlepackshot/198691C01_RGB.png"/>
    <hyperlink ref="D1755" r:id="rId1754" display="https://us.pandora.net/on/demandware.static/-/Sites-pandora-master-catalog/default/dwbb259ca6/productimages/singlepackshot/198691C01_RGB.png"/>
    <hyperlink ref="D1756" r:id="rId1755" display="https://us.pandora.net/on/demandware.static/-/Sites-pandora-master-catalog/default/dwbb259ca6/productimages/singlepackshot/198691C01_RGB.png"/>
    <hyperlink ref="D1757" r:id="rId1756" display="https://us.pandora.net/on/demandware.static/-/Sites-pandora-master-catalog/default/dwbb259ca6/productimages/singlepackshot/198691C01_RGB.png"/>
    <hyperlink ref="D1758" r:id="rId1757" display="https://us.pandora.net/on/demandware.static/-/Sites-pandora-master-catalog/default/dwbb259ca6/productimages/singlepackshot/198863C01_RGB.png"/>
    <hyperlink ref="D1759" r:id="rId1758" display="https://us.pandora.net/on/demandware.static/-/Sites-pandora-master-catalog/default/dwbb259ca6/productimages/singlepackshot/198863C01_RGB.png"/>
    <hyperlink ref="D1760" r:id="rId1759" display="https://us.pandora.net/on/demandware.static/-/Sites-pandora-master-catalog/default/dwbb259ca6/productimages/singlepackshot/198863C01_RGB.png"/>
    <hyperlink ref="D1761" r:id="rId1760" display="https://us.pandora.net/on/demandware.static/-/Sites-pandora-master-catalog/default/dwbb259ca6/productimages/singlepackshot/198863C01_RGB.png"/>
    <hyperlink ref="D1762" r:id="rId1761" display="https://us.pandora.net/on/demandware.static/-/Sites-pandora-master-catalog/default/dwbb259ca6/productimages/singlepackshot/198863C01_RGB.png"/>
    <hyperlink ref="D1763" r:id="rId1762" display="https://us.pandora.net/on/demandware.static/-/Sites-pandora-master-catalog/default/dwbb259ca6/productimages/singlepackshot/198863C01_RGB.png"/>
    <hyperlink ref="D1764" r:id="rId1763" display="https://us.pandora.net/on/demandware.static/-/Sites-pandora-master-catalog/default/dwbb259ca6/productimages/singlepackshot/198863C01_RGB.png"/>
    <hyperlink ref="D1765" r:id="rId1764" display="https://us.pandora.net/on/demandware.static/-/Sites-pandora-master-catalog/default/dwbb259ca6/productimages/singlepackshot/198863C01_RGB.png"/>
    <hyperlink ref="D1766" r:id="rId1765" display="https://us.pandora.net/on/demandware.static/-/Sites-pandora-master-catalog/default/dwbb259ca6/productimages/singlepackshot/198898C00_RGB.png"/>
    <hyperlink ref="D1767" r:id="rId1766" display="https://us.pandora.net/on/demandware.static/-/Sites-pandora-master-catalog/default/dwbb259ca6/productimages/singlepackshot/198898C00_RGB.png"/>
    <hyperlink ref="D1768" r:id="rId1767" display="https://us.pandora.net/on/demandware.static/-/Sites-pandora-master-catalog/default/dwbb259ca6/productimages/singlepackshot/198898C00_RGB.png"/>
    <hyperlink ref="D1769" r:id="rId1768" display="https://us.pandora.net/on/demandware.static/-/Sites-pandora-master-catalog/default/dwbb259ca6/productimages/singlepackshot/198898C00_RGB.png"/>
    <hyperlink ref="D1770" r:id="rId1769" display="https://us.pandora.net/on/demandware.static/-/Sites-pandora-master-catalog/default/dwbb259ca6/productimages/singlepackshot/198898C00_RGB.png"/>
    <hyperlink ref="D1771" r:id="rId1770" display="https://us.pandora.net/on/demandware.static/-/Sites-pandora-master-catalog/default/dwbb259ca6/productimages/singlepackshot/198898C00_RGB.png"/>
    <hyperlink ref="D1772" r:id="rId1771" display="https://us.pandora.net/on/demandware.static/-/Sites-pandora-master-catalog/default/dwbb259ca6/productimages/singlepackshot/198898C00_RGB.png"/>
    <hyperlink ref="D1773" r:id="rId1772" display="https://us.pandora.net/on/demandware.static/-/Sites-pandora-master-catalog/default/dwbb259ca6/productimages/singlepackshot/199057C01_RGB.png"/>
    <hyperlink ref="D1774" r:id="rId1773" display="https://us.pandora.net/on/demandware.static/-/Sites-pandora-master-catalog/default/dwbb259ca6/productimages/singlepackshot/199057C01_RGB.png"/>
    <hyperlink ref="D1775" r:id="rId1774" display="https://us.pandora.net/on/demandware.static/-/Sites-pandora-master-catalog/default/dwbb259ca6/productimages/singlepackshot/199057C01_RGB.png"/>
    <hyperlink ref="D1776" r:id="rId1775" display="https://us.pandora.net/on/demandware.static/-/Sites-pandora-master-catalog/default/dwbb259ca6/productimages/singlepackshot/199057C01_RGB.png"/>
    <hyperlink ref="D1777" r:id="rId1776" display="https://us.pandora.net/on/demandware.static/-/Sites-pandora-master-catalog/default/dwbb259ca6/productimages/singlepackshot/199057C01_RGB.png"/>
    <hyperlink ref="D1778" r:id="rId1777" display="https://us.pandora.net/on/demandware.static/-/Sites-pandora-master-catalog/default/dwbb259ca6/productimages/singlepackshot/199057C01_RGB.png"/>
    <hyperlink ref="D1779" r:id="rId1778" display="https://us.pandora.net/on/demandware.static/-/Sites-pandora-master-catalog/default/dwbb259ca6/productimages/singlepackshot/199057C01_RGB.png"/>
    <hyperlink ref="D1780" r:id="rId1779" display="https://us.pandora.net/on/demandware.static/-/Sites-pandora-master-catalog/default/dwbb259ca6/productimages/singlepackshot/199267C02_RGB.png"/>
    <hyperlink ref="D1781" r:id="rId1780" display="https://us.pandora.net/on/demandware.static/-/Sites-pandora-master-catalog/default/dwbb259ca6/productimages/singlepackshot/199267C02_RGB.png"/>
    <hyperlink ref="D1782" r:id="rId1781" display="https://us.pandora.net/on/demandware.static/-/Sites-pandora-master-catalog/default/dwbb259ca6/productimages/singlepackshot/199267C02_RGB.png"/>
    <hyperlink ref="D1783" r:id="rId1782" display="https://us.pandora.net/on/demandware.static/-/Sites-pandora-master-catalog/default/dwbb259ca6/productimages/singlepackshot/199267C02_RGB.png"/>
    <hyperlink ref="D1784" r:id="rId1783" display="https://us.pandora.net/on/demandware.static/-/Sites-pandora-master-catalog/default/dwbb259ca6/productimages/singlepackshot/199267C02_RGB.png"/>
    <hyperlink ref="D1785" r:id="rId1784" display="https://us.pandora.net/on/demandware.static/-/Sites-pandora-master-catalog/default/dwbb259ca6/productimages/singlepackshot/199267C02_RGB.png"/>
    <hyperlink ref="D1786" r:id="rId1785" display="https://us.pandora.net/on/demandware.static/-/Sites-pandora-master-catalog/default/dwbb259ca6/productimages/singlepackshot/199267C02_RGB.png"/>
    <hyperlink ref="D1787" r:id="rId1786" display="https://us.pandora.net/on/demandware.static/-/Sites-pandora-master-catalog/default/dwbb259ca6/productimages/singlepackshot/199302C01_RGB.png"/>
    <hyperlink ref="D1788" r:id="rId1787" display="https://us.pandora.net/on/demandware.static/-/Sites-pandora-master-catalog/default/dwbb259ca6/productimages/singlepackshot/199302C01_RGB.png"/>
    <hyperlink ref="D1789" r:id="rId1788" display="https://us.pandora.net/on/demandware.static/-/Sites-pandora-master-catalog/default/dwbb259ca6/productimages/singlepackshot/199302C01_RGB.png"/>
    <hyperlink ref="D1790" r:id="rId1789" display="https://us.pandora.net/on/demandware.static/-/Sites-pandora-master-catalog/default/dwbb259ca6/productimages/singlepackshot/199302C01_RGB.png"/>
    <hyperlink ref="D1791" r:id="rId1790" display="https://us.pandora.net/on/demandware.static/-/Sites-pandora-master-catalog/default/dwbb259ca6/productimages/singlepackshot/199302C01_RGB.png"/>
    <hyperlink ref="D1792" r:id="rId1791" display="https://us.pandora.net/on/demandware.static/-/Sites-pandora-master-catalog/default/dwbb259ca6/productimages/singlepackshot/199302C01_RGB.png"/>
    <hyperlink ref="D1793" r:id="rId1792" display="https://us.pandora.net/on/demandware.static/-/Sites-pandora-master-catalog/default/dwbb259ca6/productimages/singlepackshot/199302C01_RGB.png"/>
    <hyperlink ref="D1794" r:id="rId1793" display="https://us.pandora.net/on/demandware.static/-/Sites-pandora-master-catalog/default/dwbb259ca6/productimages/singlepackshot/199302C01_RGB.png"/>
    <hyperlink ref="D1795" r:id="rId1794" display="https://us.pandora.net/on/demandware.static/-/Sites-pandora-master-catalog/default/dwbb259ca6/productimages/singlepackshot/199491C01_RGB.png"/>
    <hyperlink ref="D1796" r:id="rId1795" display="https://us.pandora.net/on/demandware.static/-/Sites-pandora-master-catalog/default/dwbb259ca6/productimages/singlepackshot/199491C01_RGB.png"/>
    <hyperlink ref="D1797" r:id="rId1796" display="https://us.pandora.net/on/demandware.static/-/Sites-pandora-master-catalog/default/dwbb259ca6/productimages/singlepackshot/199491C01_RGB.png"/>
    <hyperlink ref="D1798" r:id="rId1797" display="https://us.pandora.net/on/demandware.static/-/Sites-pandora-master-catalog/default/dwbb259ca6/productimages/singlepackshot/199491C01_RGB.png"/>
    <hyperlink ref="D1799" r:id="rId1798" display="https://us.pandora.net/on/demandware.static/-/Sites-pandora-master-catalog/default/dwbb259ca6/productimages/singlepackshot/199491C01_RGB.png"/>
    <hyperlink ref="D1800" r:id="rId1799" display="https://us.pandora.net/on/demandware.static/-/Sites-pandora-master-catalog/default/dwbb259ca6/productimages/singlepackshot/199491C01_RGB.png"/>
    <hyperlink ref="D1801" r:id="rId1800" display="https://us.pandora.net/on/demandware.static/-/Sites-pandora-master-catalog/default/dwbb259ca6/productimages/singlepackshot/199491C01_RGB.png"/>
    <hyperlink ref="D1802" r:id="rId1801" display="https://us.pandora.net/on/demandware.static/-/Sites-pandora-master-catalog/default/dwbb259ca6/productimages/singlepackshot/199679C01_RGB.png"/>
    <hyperlink ref="D1803" r:id="rId1802" display="https://us.pandora.net/on/demandware.static/-/Sites-pandora-master-catalog/default/dwbb259ca6/productimages/singlepackshot/199679C01_RGB.png"/>
    <hyperlink ref="D1804" r:id="rId1803" display="https://us.pandora.net/on/demandware.static/-/Sites-pandora-master-catalog/default/dwbb259ca6/productimages/singlepackshot/199679C01_RGB.png"/>
    <hyperlink ref="D1805" r:id="rId1804" display="https://us.pandora.net/on/demandware.static/-/Sites-pandora-master-catalog/default/dwbb259ca6/productimages/singlepackshot/199679C01_RGB.png"/>
    <hyperlink ref="D1806" r:id="rId1805" display="https://us.pandora.net/on/demandware.static/-/Sites-pandora-master-catalog/default/dwbb259ca6/productimages/singlepackshot/199679C01_RGB.png"/>
    <hyperlink ref="D1807" r:id="rId1806" display="https://us.pandora.net/on/demandware.static/-/Sites-pandora-master-catalog/default/dwbb259ca6/productimages/singlepackshot/199679C01_RGB.png"/>
    <hyperlink ref="D1808" r:id="rId1807" display="https://us.pandora.net/on/demandware.static/-/Sites-pandora-master-catalog/default/dwbb259ca6/productimages/singlepackshot/199679C01_RGB.png"/>
    <hyperlink ref="D1809" r:id="rId1808" display="https://us.pandora.net/on/demandware.static/-/Sites-pandora-master-catalog/default/dwbb259ca6/productimages/singlepackshot/199679C01_RGB.png"/>
    <hyperlink ref="D1810" r:id="rId1809" display="https://us.pandora.net/on/demandware.static/-/Sites-pandora-master-catalog/default/dwbb259ca6/productimages/singlepackshot/260528C01_RGB.png"/>
    <hyperlink ref="D1811" r:id="rId1810" display="https://us.pandora.net/on/demandware.static/-/Sites-pandora-master-catalog/default/dwbb259ca6/productimages/singlepackshot/261248C01_RGB.png"/>
    <hyperlink ref="D1812" r:id="rId1811" display="https://us.pandora.net/on/demandware.static/-/Sites-pandora-master-catalog/default/dwbb259ca6/productimages/singlepackshot/262633C01_RGB.png"/>
    <hyperlink ref="D1813" r:id="rId1812" display="https://us.pandora.net/on/demandware.static/-/Sites-pandora-master-catalog/default/dwbb259ca6/productimages/singlepackshot/262667C01_RGB.png"/>
    <hyperlink ref="D1814" r:id="rId1813" display="https://us.pandora.net/on/demandware.static/-/Sites-pandora-master-catalog/default/dwbb259ca6/productimages/singlepackshot/262728C00_RGB.png"/>
    <hyperlink ref="D1815" r:id="rId1814" display="https://us.pandora.net/on/demandware.static/-/Sites-pandora-master-catalog/default/dwbb259ca6/productimages/singlepackshot/262738C01_RGB.png"/>
    <hyperlink ref="D1816" r:id="rId1815" display="https://us.pandora.net/on/demandware.static/-/Sites-pandora-master-catalog/default/dwbb259ca6/productimages/singlepackshot/262796C01_RGB.png"/>
    <hyperlink ref="D1817" r:id="rId1816" display="https://us.pandora.net/on/demandware.static/-/Sites-pandora-master-catalog/default/dwbb259ca6/productimages/singlepackshot/263002C01_RGB.png"/>
    <hyperlink ref="D1818" r:id="rId1817" display="https://us.pandora.net/on/demandware.static/-/Sites-pandora-master-catalog/default/dwbb259ca6/productimages/singlepackshot/263003C01_RGB.png"/>
    <hyperlink ref="D1819" r:id="rId1818" display="https://us.pandora.net/on/demandware.static/-/Sites-pandora-master-catalog/default/dwbb259ca6/productimages/singlepackshot/263015C01_RGB.png"/>
    <hyperlink ref="D1820" r:id="rId1819" display="https://us.pandora.net/on/demandware.static/-/Sites-pandora-master-catalog/default/dwbb259ca6/productimages/singlepackshot/263019C01_RGB.png"/>
    <hyperlink ref="D1821" r:id="rId1820" display="https://us.pandora.net/on/demandware.static/-/Sites-pandora-master-catalog/default/dwbb259ca6/productimages/singlepackshot/263150C01_RGB.png"/>
    <hyperlink ref="D1822" r:id="rId1821" display="https://us.pandora.net/on/demandware.static/-/Sites-pandora-master-catalog/default/dwbb259ca6/productimages/singlepackshot/263153C01_RGB.png"/>
    <hyperlink ref="D1823" r:id="rId1822" display="https://us.pandora.net/on/demandware.static/-/Sites-pandora-master-catalog/default/dwbb259ca6/productimages/singlepackshot/263170C01_RGB.png"/>
    <hyperlink ref="D1824" r:id="rId1823" display="https://us.pandora.net/on/demandware.static/-/Sites-pandora-master-catalog/default/dwbb259ca6/productimages/singlepackshot/263179C01_RGB.png"/>
    <hyperlink ref="D1825" r:id="rId1824" display="https://us.pandora.net/on/demandware.static/-/Sites-pandora-master-catalog/default/dwbb259ca6/productimages/singlepackshot/263261C01_RGB.png"/>
    <hyperlink ref="D1826" r:id="rId1825" display="https://us.pandora.net/on/demandware.static/-/Sites-pandora-master-catalog/default/dwbb259ca6/productimages/singlepackshot/263263C01_RGB.png"/>
    <hyperlink ref="D1827" r:id="rId1826" display="https://us.pandora.net/on/demandware.static/-/Sites-pandora-master-catalog/default/dwbb259ca6/productimages/singlepackshot/263266C00_RGB.png"/>
    <hyperlink ref="D1828" r:id="rId1827" display="https://us.pandora.net/on/demandware.static/-/Sites-pandora-master-catalog/default/dwbb259ca6/productimages/singlepackshot/263269C00_RGB.png"/>
    <hyperlink ref="D1829" r:id="rId1828" display="https://us.pandora.net/on/demandware.static/-/Sites-pandora-master-catalog/default/dwbb259ca6/productimages/singlepackshot/263276C01_RGB.png"/>
    <hyperlink ref="D1830" r:id="rId1829" display="https://us.pandora.net/on/demandware.static/-/Sites-pandora-master-catalog/default/dwbb259ca6/productimages/singlepackshot/263280C00_RGB.png"/>
    <hyperlink ref="D1831" r:id="rId1830" display="https://us.pandora.net/on/demandware.static/-/Sites-pandora-master-catalog/default/dwbb259ca6/productimages/singlepackshot/263281C01_RGB.png"/>
    <hyperlink ref="D1832" r:id="rId1831" display="https://us.pandora.net/on/demandware.static/-/Sites-pandora-master-catalog/default/dwbb259ca6/productimages/singlepackshot/263286C00_RGB.png"/>
    <hyperlink ref="D1833" r:id="rId1832" display="https://us.pandora.net/on/demandware.static/-/Sites-pandora-master-catalog/default/dwbb259ca6/productimages/singlepackshot/263287C00_RGB.png"/>
    <hyperlink ref="D1834" r:id="rId1833" display="https://us.pandora.net/on/demandware.static/-/Sites-pandora-master-catalog/default/dwbb259ca6/productimages/singlepackshot/263290C00_RGB.png"/>
    <hyperlink ref="D1835" r:id="rId1834" display="https://us.pandora.net/on/demandware.static/-/Sites-pandora-master-catalog/default/dwbb259ca6/productimages/singlepackshot/263295C01_RGB.png"/>
    <hyperlink ref="D1836" r:id="rId1835" display="https://us.pandora.net/on/demandware.static/-/Sites-pandora-master-catalog/default/dwbb259ca6/productimages/singlepackshot/263298C00_RGB.png"/>
    <hyperlink ref="D1837" r:id="rId1836" display="https://us.pandora.net/on/demandware.static/-/Sites-pandora-master-catalog/default/dwbb259ca6/productimages/singlepackshot/263299C00_RGB.png"/>
    <hyperlink ref="D1838" r:id="rId1837" display="https://us.pandora.net/on/demandware.static/-/Sites-pandora-master-catalog/default/dwbb259ca6/productimages/singlepackshot/263308C00_RGB.png"/>
    <hyperlink ref="D1839" r:id="rId1838" display="https://us.pandora.net/on/demandware.static/-/Sites-pandora-master-catalog/default/dwbb259ca6/productimages/singlepackshot/263309C01_RGB.png"/>
    <hyperlink ref="D1840" r:id="rId1839" display="https://us.pandora.net/on/demandware.static/-/Sites-pandora-master-catalog/default/dwbb259ca6/productimages/singlepackshot/263312C00_RGB.png"/>
    <hyperlink ref="D1841" r:id="rId1840" display="https://us.pandora.net/on/demandware.static/-/Sites-pandora-master-catalog/default/dwbb259ca6/productimages/singlepackshot/263320C00_RGB.png"/>
    <hyperlink ref="D1842" r:id="rId1841" display="https://us.pandora.net/on/demandware.static/-/Sites-pandora-master-catalog/default/dwbb259ca6/productimages/singlepackshot/263507C01_RGB.png"/>
    <hyperlink ref="D1843" r:id="rId1842" display="https://us.pandora.net/on/demandware.static/-/Sites-pandora-master-catalog/default/dwbb259ca6/productimages/singlepackshot/263656C01_RGB.png"/>
    <hyperlink ref="D1844" r:id="rId1843" display="https://us.pandora.net/on/demandware.static/-/Sites-pandora-master-catalog/default/dwbb259ca6/productimages/singlepackshot/263685C01_RGB.png"/>
    <hyperlink ref="D1845" r:id="rId1844" display="https://us.pandora.net/on/demandware.static/-/Sites-pandora-master-catalog/default/dwbb259ca6/productimages/singlepackshot/263807C00_RGB.png"/>
    <hyperlink ref="D1846" r:id="rId1845" display="https://us.pandora.net/on/demandware.static/-/Sites-pandora-master-catalog/default/dwbb259ca6/productimages/singlepackshot/263820C01_RGB.png"/>
    <hyperlink ref="D1847" r:id="rId1846" display="https://us.pandora.net/on/demandware.static/-/Sites-pandora-master-catalog/default/dwbb259ca6/productimages/singlepackshot/263849C01_RGB.png"/>
    <hyperlink ref="D1848" r:id="rId1847" display="https://us.pandora.net/on/demandware.static/-/Sites-pandora-master-catalog/default/dwbb259ca6/productimages/singlepackshot/263851C01_RGB.png"/>
    <hyperlink ref="D1849" r:id="rId1848" display="https://us.pandora.net/on/demandware.static/-/Sites-pandora-master-catalog/default/dwbb259ca6/productimages/singlepackshot/263851C02_RGB.png"/>
    <hyperlink ref="D1850" r:id="rId1849" display="https://us.pandora.net/on/demandware.static/-/Sites-pandora-master-catalog/default/dwbb259ca6/productimages/singlepackshot/263856C00_RGB.png"/>
    <hyperlink ref="D1851" r:id="rId1850" display="https://us.pandora.net/on/demandware.static/-/Sites-pandora-master-catalog/default/dwbb259ca6/productimages/singlepackshot/263870C00_RGB.png"/>
    <hyperlink ref="D1852" r:id="rId1851" display="https://us.pandora.net/on/demandware.static/-/Sites-pandora-master-catalog/default/dwbb259ca6/productimages/singlepackshot/263871C00_RGB.png"/>
    <hyperlink ref="D1853" r:id="rId1852" display="https://us.pandora.net/on/demandware.static/-/Sites-pandora-master-catalog/default/dwbb259ca6/productimages/singlepackshot/263873C00_RGB.png"/>
    <hyperlink ref="D1854" r:id="rId1853" display="https://us.pandora.net/on/demandware.static/-/Sites-pandora-master-catalog/default/dwbb259ca6/productimages/singlepackshot/263874C00_RGB.png"/>
    <hyperlink ref="D1855" r:id="rId1854" display="https://us.pandora.net/on/demandware.static/-/Sites-pandora-master-catalog/default/dwbb259ca6/productimages/singlepackshot/263875C00_RGB.png"/>
    <hyperlink ref="D1856" r:id="rId1855" display="https://us.pandora.net/on/demandware.static/-/Sites-pandora-master-catalog/default/dwbb259ca6/productimages/singlepackshot/263876C00_RGB.png"/>
    <hyperlink ref="D1857" r:id="rId1856" display="https://us.pandora.net/on/demandware.static/-/Sites-pandora-master-catalog/default/dwbb259ca6/productimages/singlepackshot/263878C00_RGB.png"/>
    <hyperlink ref="D1858" r:id="rId1857" display="https://us.pandora.net/on/demandware.static/-/Sites-pandora-master-catalog/default/dwbb259ca6/productimages/singlepackshot/263879C00_RGB.png"/>
    <hyperlink ref="D1859" r:id="rId1858" display="https://us.pandora.net/on/demandware.static/-/Sites-pandora-master-catalog/default/dwbb259ca6/productimages/singlepackshot/263880C00_RGB.png"/>
    <hyperlink ref="D1860" r:id="rId1859" display="https://us.pandora.net/on/demandware.static/-/Sites-pandora-master-catalog/default/dwbb259ca6/productimages/singlepackshot/264264C01_RGB.png"/>
    <hyperlink ref="D1861" r:id="rId1860" display="https://us.pandora.net/on/demandware.static/-/Sites-pandora-master-catalog/default/dwbb259ca6/productimages/singlepackshot/266317C01_RGB.png"/>
    <hyperlink ref="D1862" r:id="rId1861" display="https://us.pandora.net/on/demandware.static/-/Sites-pandora-master-catalog/default/dwbb259ca6/productimages/singlepackshot/268307C00_RGB.png"/>
    <hyperlink ref="D1863" r:id="rId1862" display="https://us.pandora.net/on/demandware.static/-/Sites-pandora-master-catalog/default/dwbb259ca6/productimages/singlepackshot/268427C01_RGB.png"/>
    <hyperlink ref="D1864" r:id="rId1863" display="https://us.pandora.net/on/demandware.static/-/Sites-pandora-master-catalog/default/dwbb259ca6/productimages/singlepackshot/268427C02_RGB.png"/>
    <hyperlink ref="D1865" r:id="rId1864" display="https://us.pandora.net/on/demandware.static/-/Sites-pandora-master-catalog/default/dwbb259ca6/productimages/singlepackshot/268820C01_RGB.png"/>
    <hyperlink ref="D1866" r:id="rId1865" display="https://us.pandora.net/on/demandware.static/-/Sites-pandora-master-catalog/default/dwbb259ca6/productimages/singlepackshot/269532C00_RGB.png"/>
    <hyperlink ref="D1867" r:id="rId1866" display="https://us.pandora.net/on/demandware.static/-/Sites-pandora-master-catalog/default/dwbb259ca6/productimages/singlepackshot/269682C01_RGB.png"/>
    <hyperlink ref="D1868" r:id="rId1867" display="https://us.pandora.net/on/demandware.static/-/Sites-pandora-master-catalog/default/dwbb259ca6/productimages/singlepackshot/280090C01_RGB.png"/>
    <hyperlink ref="D1869" r:id="rId1868" display="https://us.pandora.net/on/demandware.static/-/Sites-pandora-master-catalog/default/dwbb259ca6/productimages/singlepackshot/280528CZ_RGB.png"/>
    <hyperlink ref="D1870" r:id="rId1869" display="https://us.pandora.net/on/demandware.static/-/Sites-pandora-master-catalog/default/dwbb259ca6/productimages/singlepackshot/282407C01_RGB.png"/>
    <hyperlink ref="D1871" r:id="rId1870" display="https://us.pandora.net/on/demandware.static/-/Sites-pandora-master-catalog/default/dwbb259ca6/productimages/singlepackshot/282622C01_RGB.png"/>
    <hyperlink ref="D1872" r:id="rId1871" display="https://us.pandora.net/on/demandware.static/-/Sites-pandora-master-catalog/default/dwbb259ca6/productimages/singlepackshot/286317C01_RGB.png"/>
    <hyperlink ref="D1873" r:id="rId1872" display="https://us.pandora.net/on/demandware.static/-/Sites-pandora-master-catalog/default/dwbb259ca6/productimages/singlepackshot/286318CZ_RGB.png"/>
    <hyperlink ref="D1874" r:id="rId1873" display="https://us.pandora.net/on/demandware.static/-/Sites-pandora-master-catalog/default/dwbb259ca6/productimages/singlepackshot/288307_RGB.png"/>
    <hyperlink ref="D1875" r:id="rId1874" display="https://us.pandora.net/on/demandware.static/-/Sites-pandora-master-catalog/default/dwbb259ca6/productimages/singlepackshot/288427C01_RGB.png"/>
    <hyperlink ref="D1876" r:id="rId1875" display="https://us.pandora.net/on/demandware.static/-/Sites-pandora-master-catalog/default/dwbb259ca6/productimages/singlepackshot/288427C02_RGB.png"/>
    <hyperlink ref="D1877" r:id="rId1876" display="https://us.pandora.net/on/demandware.static/-/Sites-pandora-master-catalog/default/dwbb259ca6/productimages/singlepackshot/288773C01_RGB.png"/>
    <hyperlink ref="D1878" r:id="rId1877" display="https://us.pandora.net/on/demandware.static/-/Sites-pandora-master-catalog/default/dwbb259ca6/productimages/singlepackshot/288820C01_RGB.png"/>
    <hyperlink ref="D1879" r:id="rId1878" display="https://us.pandora.net/on/demandware.static/-/Sites-pandora-master-catalog/default/dwbb259ca6/productimages/singlepackshot/290012C01_RGB.png"/>
    <hyperlink ref="D1880" r:id="rId1879" display="https://us.pandora.net/on/demandware.static/-/Sites-pandora-master-catalog/default/dwbb259ca6/productimages/singlepackshot/290023C01_RGB.png"/>
    <hyperlink ref="D1881" r:id="rId1880" display="https://us.pandora.net/on/demandware.static/-/Sites-pandora-master-catalog/default/dwbb259ca6/productimages/singlepackshot/290058C01_RGB.png"/>
    <hyperlink ref="D1882" r:id="rId1881" display="https://us.pandora.net/on/demandware.static/-/Sites-pandora-master-catalog/default/dwbb259ca6/productimages/singlepackshot/290528CZ_RGB.png"/>
    <hyperlink ref="D1883" r:id="rId1882" display="https://us.pandora.net/on/demandware.static/-/Sites-pandora-master-catalog/default/dwbb259ca6/productimages/singlepackshot/290558CZ_RGB.png"/>
    <hyperlink ref="D1884" r:id="rId1883" display="https://us.pandora.net/on/demandware.static/-/Sites-pandora-master-catalog/default/dwbb259ca6/productimages/singlepackshot/290585CZ_RGB.png"/>
    <hyperlink ref="D1885" r:id="rId1884" display="https://us.pandora.net/on/demandware.static/-/Sites-pandora-master-catalog/default/dwbb259ca6/productimages/singlepackshot/290591CZ_RGB.png"/>
    <hyperlink ref="D1886" r:id="rId1885" display="https://us.pandora.net/on/demandware.static/-/Sites-pandora-master-catalog/default/dwbb259ca6/productimages/singlepackshot/290597CZ_RGB.png"/>
    <hyperlink ref="D1887" r:id="rId1886" display="https://us.pandora.net/on/demandware.static/-/Sites-pandora-master-catalog/default/dwbb259ca6/productimages/singlepackshot/290744CZ_RGB.png"/>
    <hyperlink ref="D1888" r:id="rId1887" display="https://us.pandora.net/on/demandware.static/-/Sites-pandora-master-catalog/default/dwbb259ca6/productimages/singlepackshot/290778C01_RGB.png"/>
    <hyperlink ref="D1889" r:id="rId1888" display="https://us.pandora.net/on/demandware.static/-/Sites-pandora-master-catalog/default/dwbb259ca6/productimages/singlepackshot/291076C01_RGB.png"/>
    <hyperlink ref="D1890" r:id="rId1889" display="https://us.pandora.net/on/demandware.static/-/Sites-pandora-master-catalog/default/dwbb259ca6/productimages/singlepackshot/291156C01_RGB.png"/>
    <hyperlink ref="D1891" r:id="rId1890" display="https://us.pandora.net/on/demandware.static/-/Sites-pandora-master-catalog/default/dwbb259ca6/productimages/singlepackshot/291199C01_RGB.png"/>
    <hyperlink ref="D1892" r:id="rId1891" display="https://us.pandora.net/on/demandware.static/-/Sites-pandora-master-catalog/default/dwbb259ca6/productimages/singlepackshot/291248C01_RGB.png"/>
    <hyperlink ref="D1893" r:id="rId1892" display="https://us.pandora.net/on/demandware.static/-/Sites-pandora-master-catalog/default/dwbb259ca6/productimages/singlepackshot/291445C01_RGB.png"/>
    <hyperlink ref="D1894" r:id="rId1893" display="https://us.pandora.net/on/demandware.static/-/Sites-pandora-master-catalog/default/dwbb259ca6/productimages/singlepackshot/292334C01_RGB.png"/>
    <hyperlink ref="D1895" r:id="rId1894" display="https://us.pandora.net/on/demandware.static/-/Sites-pandora-master-catalog/default/dwbb259ca6/productimages/singlepackshot/292334C02_RGB.png"/>
    <hyperlink ref="D1896" r:id="rId1895" display="https://us.pandora.net/on/demandware.static/-/Sites-pandora-master-catalog/default/dwbb259ca6/productimages/singlepackshot/292334C03_RGB.png"/>
    <hyperlink ref="D1897" r:id="rId1896" display="https://us.pandora.net/on/demandware.static/-/Sites-pandora-master-catalog/default/dwbb259ca6/productimages/singlepackshot/292334C04_RGB.png"/>
    <hyperlink ref="D1898" r:id="rId1897" display="https://us.pandora.net/on/demandware.static/-/Sites-pandora-master-catalog/default/dwbb259ca6/productimages/singlepackshot/292334C05_RGB.png"/>
    <hyperlink ref="D1899" r:id="rId1898" display="https://us.pandora.net/on/demandware.static/-/Sites-pandora-master-catalog/default/dwbb259ca6/productimages/singlepackshot/292334C06_RGB.png"/>
    <hyperlink ref="D1900" r:id="rId1899" display="https://us.pandora.net/on/demandware.static/-/Sites-pandora-master-catalog/default/dwbb259ca6/productimages/singlepackshot/292334C07_RGB.png"/>
    <hyperlink ref="D1901" r:id="rId1900" display="https://us.pandora.net/on/demandware.static/-/Sites-pandora-master-catalog/default/dwbb259ca6/productimages/singlepackshot/292334C08_RGB.png"/>
    <hyperlink ref="D1902" r:id="rId1901" display="https://us.pandora.net/on/demandware.static/-/Sites-pandora-master-catalog/default/dwbb259ca6/productimages/singlepackshot/292334C09_RGB.png"/>
    <hyperlink ref="D1903" r:id="rId1902" display="https://us.pandora.net/on/demandware.static/-/Sites-pandora-master-catalog/default/dwbb259ca6/productimages/singlepackshot/292335C01_RGB.png"/>
    <hyperlink ref="D1904" r:id="rId1903" display="https://us.pandora.net/on/demandware.static/-/Sites-pandora-master-catalog/default/dwbb259ca6/productimages/singlepackshot/292335C02_RGB.png"/>
    <hyperlink ref="D1905" r:id="rId1904" display="https://us.pandora.net/on/demandware.static/-/Sites-pandora-master-catalog/default/dwbb259ca6/productimages/singlepackshot/292335C03_RGB.png"/>
    <hyperlink ref="D1906" r:id="rId1905" display="https://us.pandora.net/on/demandware.static/-/Sites-pandora-master-catalog/default/dwbb259ca6/productimages/singlepackshot/292407C01_RGB.png"/>
    <hyperlink ref="D1907" r:id="rId1906" display="https://us.pandora.net/on/demandware.static/-/Sites-pandora-master-catalog/default/dwbb259ca6/productimages/singlepackshot/292545C01_RGB.png"/>
    <hyperlink ref="D1908" r:id="rId1907" display="https://us.pandora.net/on/demandware.static/-/Sites-pandora-master-catalog/default/dwbb259ca6/productimages/singlepackshot/292549C01_RGB.png"/>
    <hyperlink ref="D1909" r:id="rId1908" display="https://us.pandora.net/on/demandware.static/-/Sites-pandora-master-catalog/default/dwbb259ca6/productimages/singlepackshot/292624C01_RGB.png"/>
    <hyperlink ref="D1910" r:id="rId1909" display="https://us.pandora.net/on/demandware.static/-/Sites-pandora-master-catalog/default/dwbb259ca6/productimages/singlepackshot/292633C01_RGB.png"/>
    <hyperlink ref="D1911" r:id="rId1910" display="https://us.pandora.net/on/demandware.static/-/Sites-pandora-master-catalog/default/dwbb259ca6/productimages/singlepackshot/292667C01_RGB.png"/>
    <hyperlink ref="D1912" r:id="rId1911" display="https://us.pandora.net/on/demandware.static/-/Sites-pandora-master-catalog/default/dwbb259ca6/productimages/singlepackshot/292728C00_RGB.png"/>
    <hyperlink ref="D1913" r:id="rId1912" display="https://us.pandora.net/on/demandware.static/-/Sites-pandora-master-catalog/default/dwbb259ca6/productimages/singlepackshot/292796C01_RGB.png"/>
    <hyperlink ref="D1914" r:id="rId1913" display="https://us.pandora.net/on/demandware.static/-/Sites-pandora-master-catalog/default/dwbb259ca6/productimages/singlepackshot/292834C01_RGB.png"/>
    <hyperlink ref="D1915" r:id="rId1914" display="https://us.pandora.net/on/demandware.static/-/Sites-pandora-master-catalog/default/dwbb259ca6/productimages/singlepackshot/292990C01_RGB.png"/>
    <hyperlink ref="D1916" r:id="rId1915" display="https://us.pandora.net/on/demandware.static/-/Sites-pandora-master-catalog/default/dwbb259ca6/productimages/singlepackshot/293003C01_RGB.png"/>
    <hyperlink ref="D1917" r:id="rId1916" display="https://us.pandora.net/on/demandware.static/-/Sites-pandora-master-catalog/default/dwbb259ca6/productimages/singlepackshot/293015C01_RGB.png"/>
    <hyperlink ref="D1918" r:id="rId1917" display="https://us.pandora.net/on/demandware.static/-/Sites-pandora-master-catalog/default/dwbb259ca6/productimages/singlepackshot/293016C01_RGB.png"/>
    <hyperlink ref="D1919" r:id="rId1918" display="https://us.pandora.net/on/demandware.static/-/Sites-pandora-master-catalog/default/dwbb259ca6/productimages/singlepackshot/293019C01_RGB.png"/>
    <hyperlink ref="D1920" r:id="rId1919" display="https://us.pandora.net/on/demandware.static/-/Sites-pandora-master-catalog/default/dwbb259ca6/productimages/singlepackshot/293097C01_RGB.png"/>
    <hyperlink ref="D1921" r:id="rId1920" display="https://us.pandora.net/on/demandware.static/-/Sites-pandora-master-catalog/default/dwbb259ca6/productimages/singlepackshot/293101C01_RGB.png"/>
    <hyperlink ref="D1922" r:id="rId1921" display="https://us.pandora.net/on/demandware.static/-/Sites-pandora-master-catalog/default/dwbb259ca6/productimages/singlepackshot/293150C01_RGB.png"/>
    <hyperlink ref="D1923" r:id="rId1922" display="https://us.pandora.net/on/demandware.static/-/Sites-pandora-master-catalog/default/dwbb259ca6/productimages/singlepackshot/293152C01_RGB.png"/>
    <hyperlink ref="D1924" r:id="rId1923" display="https://us.pandora.net/on/demandware.static/-/Sites-pandora-master-catalog/default/dwbb259ca6/productimages/singlepackshot/293154C01_RGB.png"/>
    <hyperlink ref="D1925" r:id="rId1924" display="https://us.pandora.net/on/demandware.static/-/Sites-pandora-master-catalog/default/dwbb259ca6/productimages/singlepackshot/293159C01_RGB.png"/>
    <hyperlink ref="D1926" r:id="rId1925" display="https://us.pandora.net/on/demandware.static/-/Sites-pandora-master-catalog/default/dwbb259ca6/productimages/singlepackshot/293168C01_RGB.png"/>
    <hyperlink ref="D1927" r:id="rId1926" display="https://us.pandora.net/on/demandware.static/-/Sites-pandora-master-catalog/default/dwbb259ca6/productimages/singlepackshot/293169C01_RGB.png"/>
    <hyperlink ref="D1928" r:id="rId1927" display="https://us.pandora.net/on/demandware.static/-/Sites-pandora-master-catalog/default/dwbb259ca6/productimages/singlepackshot/293171C01_RGB.png"/>
    <hyperlink ref="D1929" r:id="rId1928" display="https://us.pandora.net/on/demandware.static/-/Sites-pandora-master-catalog/default/dwbb259ca6/productimages/singlepackshot/293178C01_RGB.png"/>
    <hyperlink ref="D1930" r:id="rId1929" display="https://us.pandora.net/on/demandware.static/-/Sites-pandora-master-catalog/default/dwbb259ca6/productimages/singlepackshot/293209C01_RGB.png"/>
    <hyperlink ref="D1931" r:id="rId1930" display="https://us.pandora.net/on/demandware.static/-/Sites-pandora-master-catalog/default/dwbb259ca6/productimages/singlepackshot/293219C01_RGB.png"/>
    <hyperlink ref="D1932" r:id="rId1931" display="https://us.pandora.net/on/demandware.static/-/Sites-pandora-master-catalog/default/dwbb259ca6/productimages/singlepackshot/293276C01_RGB.png"/>
    <hyperlink ref="D1933" r:id="rId1932" display="https://us.pandora.net/on/demandware.static/-/Sites-pandora-master-catalog/default/dwbb259ca6/productimages/singlepackshot/293286C00_RGB.png"/>
    <hyperlink ref="D1934" r:id="rId1933" display="https://us.pandora.net/on/demandware.static/-/Sites-pandora-master-catalog/default/dwbb259ca6/productimages/singlepackshot/293290C00_RGB.png"/>
    <hyperlink ref="D1935" r:id="rId1934" display="https://us.pandora.net/on/demandware.static/-/Sites-pandora-master-catalog/default/dwbb259ca6/productimages/singlepackshot/293299C00_RGB.png"/>
    <hyperlink ref="D1936" r:id="rId1935" display="https://us.pandora.net/on/demandware.static/-/Sites-pandora-master-catalog/default/dwbb259ca6/productimages/singlepackshot/293320C00_RGB.png"/>
    <hyperlink ref="D1937" r:id="rId1936" display="https://us.pandora.net/on/demandware.static/-/Sites-pandora-master-catalog/default/dwbb259ca6/productimages/singlepackshot/293336C00_RGB.png"/>
    <hyperlink ref="D1938" r:id="rId1937" display="https://us.pandora.net/on/demandware.static/-/Sites-pandora-master-catalog/default/dwbb259ca6/productimages/singlepackshot/293355C00_RGB.png"/>
    <hyperlink ref="D1939" r:id="rId1938" display="https://us.pandora.net/on/demandware.static/-/Sites-pandora-master-catalog/default/dwbb259ca6/productimages/singlepackshot/293505C01_RGB.png"/>
    <hyperlink ref="D1940" r:id="rId1939" display="https://us.pandora.net/on/demandware.static/-/Sites-pandora-master-catalog/default/dwbb259ca6/productimages/singlepackshot/293506C01_RGB.png"/>
    <hyperlink ref="D1941" r:id="rId1940" display="https://us.pandora.net/on/demandware.static/-/Sites-pandora-master-catalog/default/dwbb259ca6/productimages/singlepackshot/293528C00_RGB.png"/>
    <hyperlink ref="D1942" r:id="rId1941" display="https://us.pandora.net/on/demandware.static/-/Sites-pandora-master-catalog/default/dwbb259ca6/productimages/singlepackshot/293542C01_RGB.png"/>
    <hyperlink ref="D1943" r:id="rId1942" display="https://us.pandora.net/on/demandware.static/-/Sites-pandora-master-catalog/default/dwbb259ca6/productimages/singlepackshot/293543C01_RGB.png"/>
    <hyperlink ref="D1944" r:id="rId1943" display="https://us.pandora.net/on/demandware.static/-/Sites-pandora-master-catalog/default/dwbb259ca6/productimages/singlepackshot/293544C01_RGB.png"/>
    <hyperlink ref="D1945" r:id="rId1944" display="https://us.pandora.net/on/demandware.static/-/Sites-pandora-master-catalog/default/dwbb259ca6/productimages/singlepackshot/293545C01_RGB.png"/>
    <hyperlink ref="D1946" r:id="rId1945" display="https://us.pandora.net/on/demandware.static/-/Sites-pandora-master-catalog/default/dwbb259ca6/productimages/singlepackshot/293547C01_RGB.png"/>
    <hyperlink ref="D1947" r:id="rId1946" display="https://us.pandora.net/on/demandware.static/-/Sites-pandora-master-catalog/default/dwbb259ca6/productimages/singlepackshot/293551C01_RGB.png"/>
    <hyperlink ref="D1948" r:id="rId1947" display="https://us.pandora.net/on/demandware.static/-/Sites-pandora-master-catalog/default/dwbb259ca6/productimages/singlepackshot/293551C02_RGB.png"/>
    <hyperlink ref="D1949" r:id="rId1948" display="https://us.pandora.net/on/demandware.static/-/Sites-pandora-master-catalog/default/dwbb259ca6/productimages/singlepackshot/293587C01_RGB.png"/>
    <hyperlink ref="D1950" r:id="rId1949" display="https://us.pandora.net/on/demandware.static/-/Sites-pandora-master-catalog/default/dwbb259ca6/productimages/singlepackshot/293633C01_RGB.png"/>
    <hyperlink ref="D1951" r:id="rId1950" display="https://us.pandora.net/on/demandware.static/-/Sites-pandora-master-catalog/default/dwbb259ca6/productimages/singlepackshot/293657C01_RGB.png"/>
    <hyperlink ref="D1952" r:id="rId1951" display="https://us.pandora.net/on/demandware.static/-/Sites-pandora-master-catalog/default/dwbb259ca6/productimages/singlepackshot/293668C01_RGB.png"/>
    <hyperlink ref="D1953" r:id="rId1952" display="https://us.pandora.net/on/demandware.static/-/Sites-pandora-master-catalog/default/dwbb259ca6/productimages/singlepackshot/293741C01_RGB.png"/>
    <hyperlink ref="D1954" r:id="rId1953" display="https://us.pandora.net/on/demandware.static/-/Sites-pandora-master-catalog/default/dwbb259ca6/productimages/singlepackshot/293761C01_RGB.png"/>
    <hyperlink ref="D1955" r:id="rId1954" display="https://us.pandora.net/on/demandware.static/-/Sites-pandora-master-catalog/default/dwbb259ca6/productimages/singlepackshot/293774C01_RGB.png"/>
    <hyperlink ref="D1956" r:id="rId1955" display="https://us.pandora.net/on/demandware.static/-/Sites-pandora-master-catalog/default/dwbb259ca6/productimages/singlepackshot/293779C01_RGB.png"/>
    <hyperlink ref="D1957" r:id="rId1956" display="https://us.pandora.net/on/demandware.static/-/Sites-pandora-master-catalog/default/dwbb259ca6/productimages/singlepackshot/293849C01_RGB.png"/>
    <hyperlink ref="D1958" r:id="rId1957" display="https://us.pandora.net/on/demandware.static/-/Sites-pandora-master-catalog/default/dwbb259ca6/productimages/singlepackshot/293851C01_RGB.png"/>
    <hyperlink ref="D1959" r:id="rId1958" display="https://us.pandora.net/on/demandware.static/-/Sites-pandora-master-catalog/default/dwbb259ca6/productimages/singlepackshot/293851C02_RGB.png"/>
    <hyperlink ref="D1960" r:id="rId1959" display="https://us.pandora.net/on/demandware.static/-/Sites-pandora-master-catalog/default/dwbb259ca6/productimages/singlepackshot/293856C00_RGB.png"/>
    <hyperlink ref="D1961" r:id="rId1960" display="https://us.pandora.net/on/demandware.static/-/Sites-pandora-master-catalog/default/dwbb259ca6/productimages/singlepackshot/293874C00_RGB.png"/>
    <hyperlink ref="D1962" r:id="rId1961" display="https://us.pandora.net/on/demandware.static/-/Sites-pandora-master-catalog/default/dwbb259ca6/productimages/singlepackshot/294230C01_RGB.png"/>
    <hyperlink ref="D1963" r:id="rId1962" display="https://us.pandora.net/on/demandware.static/-/Sites-pandora-master-catalog/default/dwbb259ca6/productimages/singlepackshot/294257C01_RGB.png"/>
    <hyperlink ref="D1964" r:id="rId1963" display="https://us.pandora.net/on/demandware.static/-/Sites-pandora-master-catalog/default/dwbb259ca6/productimages/singlepackshot/294263C01_RGB.png"/>
    <hyperlink ref="D1965" r:id="rId1964" display="https://us.pandora.net/on/demandware.static/-/Sites-pandora-master-catalog/default/dwbb259ca6/productimages/singlepackshot/294265C01_RGB.png"/>
    <hyperlink ref="D1966" r:id="rId1965" display="https://us.pandora.net/on/demandware.static/-/Sites-pandora-master-catalog/default/dwbb259ca6/productimages/singlepackshot/296272CZ_RGB.png"/>
    <hyperlink ref="D1967" r:id="rId1966" display="https://us.pandora.net/on/demandware.static/-/Sites-pandora-master-catalog/default/dwbb259ca6/productimages/singlepackshot/296317CZ_RGB.png"/>
    <hyperlink ref="D1968" r:id="rId1967" display="https://us.pandora.net/on/demandware.static/-/Sites-pandora-master-catalog/default/dwbb259ca6/productimages/singlepackshot/296319CZ_RGB.png"/>
    <hyperlink ref="D1969" r:id="rId1968" display="https://us.pandora.net/on/demandware.static/-/Sites-pandora-master-catalog/default/dwbb259ca6/productimages/singlepackshot/297822_RGB.png"/>
    <hyperlink ref="D1970" r:id="rId1969" display="https://us.pandora.net/on/demandware.static/-/Sites-pandora-master-catalog/default/dwbb259ca6/productimages/singlepackshot/298307C00_RGB.png"/>
    <hyperlink ref="D1971" r:id="rId1970" display="https://us.pandora.net/on/demandware.static/-/Sites-pandora-master-catalog/default/dwbb259ca6/productimages/singlepackshot/298427C01_RGB.png"/>
    <hyperlink ref="D1972" r:id="rId1971" display="https://us.pandora.net/on/demandware.static/-/Sites-pandora-master-catalog/default/dwbb259ca6/productimages/singlepackshot/298427C02_RGB.png"/>
    <hyperlink ref="D1973" r:id="rId1972" display="https://us.pandora.net/on/demandware.static/-/Sites-pandora-master-catalog/default/dwbb259ca6/productimages/singlepackshot/298427C03_RGB.png"/>
    <hyperlink ref="D1974" r:id="rId1973" display="https://us.pandora.net/on/demandware.static/-/Sites-pandora-master-catalog/default/dwbb259ca6/productimages/singlepackshot/298820C01_RGB.png"/>
    <hyperlink ref="D1975" r:id="rId1974" display="https://us.pandora.net/on/demandware.static/-/Sites-pandora-master-catalog/default/dwbb259ca6/productimages/singlepackshot/299239C01_RGB.png"/>
    <hyperlink ref="D1976" r:id="rId1975" display="https://us.pandora.net/on/demandware.static/-/Sites-pandora-master-catalog/default/dwbb259ca6/productimages/singlepackshot/299486C01_RGB.png"/>
    <hyperlink ref="D1977" r:id="rId1976" display="https://us.pandora.net/on/demandware.static/-/Sites-pandora-master-catalog/default/dwbb259ca6/productimages/singlepackshot/299532C00_RGB.png"/>
    <hyperlink ref="D1978" r:id="rId1977" display="https://us.pandora.net/on/demandware.static/-/Sites-pandora-master-catalog/default/dwbb259ca6/productimages/singlepackshot/299682C01_RGB.png"/>
    <hyperlink ref="D1979" r:id="rId1978" display="https://us.pandora.net/on/demandware.static/-/Sites-pandora-master-catalog/default/dwbb259ca6/productimages/singlepackshot/361174C01_RGB.png"/>
    <hyperlink ref="D1980" r:id="rId1979" display="https://us.pandora.net/on/demandware.static/-/Sites-pandora-master-catalog/default/dwbb259ca6/productimages/singlepackshot/362234C00_RGB.png"/>
    <hyperlink ref="D1981" r:id="rId1980" display="https://us.pandora.net/on/demandware.static/-/Sites-pandora-master-catalog/default/dwbb259ca6/productimages/singlepackshot/362234C00_RGB.png"/>
    <hyperlink ref="D1982" r:id="rId1981" display="https://us.pandora.net/on/demandware.static/-/Sites-pandora-master-catalog/default/dwbb259ca6/productimages/singlepackshot/362237C00_RGB.png"/>
    <hyperlink ref="D1983" r:id="rId1982" display="https://us.pandora.net/on/demandware.static/-/Sites-pandora-master-catalog/default/dwbb259ca6/productimages/singlepackshot/362302C01_RGB.png"/>
    <hyperlink ref="D1984" r:id="rId1983" display="https://us.pandora.net/on/demandware.static/-/Sites-pandora-master-catalog/default/dwbb259ca6/productimages/singlepackshot/362387C01_RGB.png"/>
    <hyperlink ref="D1985" r:id="rId1984" display="https://us.pandora.net/on/demandware.static/-/Sites-pandora-master-catalog/default/dwbb259ca6/productimages/singlepackshot/362451C00_RGB.png"/>
    <hyperlink ref="D1986" r:id="rId1985" display="https://us.pandora.net/on/demandware.static/-/Sites-pandora-master-catalog/default/dwbb259ca6/productimages/singlepackshot/362666C01_RGB.png"/>
    <hyperlink ref="D1987" r:id="rId1986" display="https://us.pandora.net/on/demandware.static/-/Sites-pandora-master-catalog/default/dwbb259ca6/productimages/singlepackshot/363014C01_RGB.png"/>
    <hyperlink ref="D1988" r:id="rId1987" display="https://us.pandora.net/on/demandware.static/-/Sites-pandora-master-catalog/default/dwbb259ca6/productimages/singlepackshot/363052C00_RGB.png"/>
    <hyperlink ref="D1989" r:id="rId1988" display="https://us.pandora.net/on/demandware.static/-/Sites-pandora-master-catalog/default/dwbb259ca6/productimages/singlepackshot/363167C01_RGB.png"/>
    <hyperlink ref="D1990" r:id="rId1989" display="https://us.pandora.net/on/demandware.static/-/Sites-pandora-master-catalog/default/dwbb259ca6/productimages/singlepackshot/363176C01_RGB.png"/>
    <hyperlink ref="D1991" r:id="rId1990" display="https://us.pandora.net/on/demandware.static/-/Sites-pandora-master-catalog/default/dwbb259ca6/productimages/singlepackshot/363255C00_RGB.png"/>
    <hyperlink ref="D1992" r:id="rId1991" display="https://us.pandora.net/on/demandware.static/-/Sites-pandora-master-catalog/default/dwbb259ca6/productimages/singlepackshot/363272C00_RGB.png"/>
    <hyperlink ref="D1993" r:id="rId1992" display="https://us.pandora.net/on/demandware.static/-/Sites-pandora-master-catalog/default/dwbb259ca6/productimages/singlepackshot/363297C01_RGB.png"/>
    <hyperlink ref="D1994" r:id="rId1993" display="https://us.pandora.net/on/demandware.static/-/Sites-pandora-master-catalog/default/dwbb259ca6/productimages/singlepackshot/363303C01_RGB.png"/>
    <hyperlink ref="D1995" r:id="rId1994" display="https://us.pandora.net/on/demandware.static/-/Sites-pandora-master-catalog/default/dwbb259ca6/productimages/singlepackshot/363305C01_RGB.png"/>
    <hyperlink ref="D1996" r:id="rId1995" display="https://us.pandora.net/on/demandware.static/-/Sites-pandora-master-catalog/default/dwbb259ca6/productimages/singlepackshot/363334C00_RGB.png"/>
    <hyperlink ref="D1997" r:id="rId1996" display="https://us.pandora.net/on/demandware.static/-/Sites-pandora-master-catalog/default/dwbb259ca6/productimages/singlepackshot/363416C00_RGB.png"/>
    <hyperlink ref="D1998" r:id="rId1997" display="https://us.pandora.net/on/demandware.static/-/Sites-pandora-master-catalog/default/dwbb259ca6/productimages/singlepackshot/363508C01_RGB.png"/>
    <hyperlink ref="D1999" r:id="rId1998" display="https://us.pandora.net/on/demandware.static/-/Sites-pandora-master-catalog/default/dwbb259ca6/productimages/singlepackshot/363548C01_RGB.png"/>
    <hyperlink ref="D2000" r:id="rId1999" display="https://us.pandora.net/on/demandware.static/-/Sites-pandora-master-catalog/default/dwbb259ca6/productimages/singlepackshot/363881C00_RGB.png"/>
    <hyperlink ref="D2001" r:id="rId2000" display="https://us.pandora.net/on/demandware.static/-/Sites-pandora-master-catalog/default/dwbb259ca6/productimages/singlepackshot/363882C00_RGB.png"/>
    <hyperlink ref="D2002" r:id="rId2001" display="https://us.pandora.net/on/demandware.static/-/Sites-pandora-master-catalog/default/dwbb259ca6/productimages/singlepackshot/363883C01_RGB.png"/>
    <hyperlink ref="D2003" r:id="rId2002" display="https://us.pandora.net/on/demandware.static/-/Sites-pandora-master-catalog/default/dwbb259ca6/productimages/singlepackshot/363899C00_RGB.png"/>
    <hyperlink ref="D2004" r:id="rId2003" display="https://us.pandora.net/on/demandware.static/-/Sites-pandora-master-catalog/default/dwbb259ca6/productimages/singlepackshot/364007C01_RGB.png"/>
    <hyperlink ref="D2005" r:id="rId2004" display="https://us.pandora.net/on/demandware.static/-/Sites-pandora-master-catalog/default/dwbb259ca6/productimages/singlepackshot/364009C01_RGB.png"/>
    <hyperlink ref="D2006" r:id="rId2005" display="https://us.pandora.net/on/demandware.static/-/Sites-pandora-master-catalog/default/dwbb259ca6/productimages/singlepackshot/364015C00_RGB.png"/>
    <hyperlink ref="D2007" r:id="rId2006" display="https://us.pandora.net/on/demandware.static/-/Sites-pandora-master-catalog/default/dwbb259ca6/productimages/singlepackshot/364016C00_RGB.png"/>
    <hyperlink ref="D2008" r:id="rId2007" display="https://us.pandora.net/on/demandware.static/-/Sites-pandora-master-catalog/default/dwbb259ca6/productimages/singlepackshot/364083C00_RGB.png"/>
    <hyperlink ref="D2009" r:id="rId2008" display="https://us.pandora.net/on/demandware.static/-/Sites-pandora-master-catalog/default/dwbb259ca6/productimages/singlepackshot/364267C01_RGB.png"/>
    <hyperlink ref="D2010" r:id="rId2009" display="https://us.pandora.net/on/demandware.static/-/Sites-pandora-master-catalog/default/dwbb259ca6/productimages/singlepackshot/367436C01_RGB.png"/>
    <hyperlink ref="D2011" r:id="rId2010" display="https://us.pandora.net/on/demandware.static/-/Sites-pandora-master-catalog/default/dwbb259ca6/productimages/singlepackshot/368425C01_RGB.png"/>
    <hyperlink ref="D2012" r:id="rId2011" display="https://us.pandora.net/on/demandware.static/-/Sites-pandora-master-catalog/default/dwbb259ca6/productimages/singlepackshot/368425C02_RGB.png"/>
    <hyperlink ref="D2013" r:id="rId2012" display="https://us.pandora.net/on/demandware.static/-/Sites-pandora-master-catalog/default/dwbb259ca6/productimages/singlepackshot/368610C00_RGB.png"/>
    <hyperlink ref="D2014" r:id="rId2013" display="https://us.pandora.net/on/demandware.static/-/Sites-pandora-master-catalog/default/dwbb259ca6/productimages/singlepackshot/368611C00_RGB.png"/>
    <hyperlink ref="D2015" r:id="rId2014" display="https://us.pandora.net/on/demandware.static/-/Sites-pandora-master-catalog/default/dwbb259ca6/productimages/singlepackshot/368638C00_RGB.png"/>
    <hyperlink ref="D2016" r:id="rId2015" display="https://us.pandora.net/on/demandware.static/-/Sites-pandora-master-catalog/default/dwbb259ca6/productimages/singlepackshot/368727C00_RGB.png"/>
    <hyperlink ref="D2017" r:id="rId2016" display="https://us.pandora.net/on/demandware.static/-/Sites-pandora-master-catalog/default/dwbb259ca6/productimages/singlepackshot/368821C01_RGB.png"/>
    <hyperlink ref="D2018" r:id="rId2017" display="https://us.pandora.net/on/demandware.static/-/Sites-pandora-master-catalog/default/dwbb259ca6/productimages/singlepackshot/369260C00_RGB.png"/>
    <hyperlink ref="D2019" r:id="rId2018" display="https://us.pandora.net/on/demandware.static/-/Sites-pandora-master-catalog/default/dwbb259ca6/productimages/singlepackshot/369685C00_RGB.png"/>
    <hyperlink ref="D2020" r:id="rId2019" display="https://us.pandora.net/on/demandware.static/-/Sites-pandora-master-catalog/default/dwbb259ca6/productimages/singlepackshot/380089C01_RGB.png"/>
    <hyperlink ref="D2021" r:id="rId2020" display="https://us.pandora.net/on/demandware.static/-/Sites-pandora-master-catalog/default/dwbb259ca6/productimages/singlepackshot/382234C00_RGB.png"/>
    <hyperlink ref="D2022" r:id="rId2021" display="https://us.pandora.net/on/demandware.static/-/Sites-pandora-master-catalog/default/dwbb259ca6/productimages/singlepackshot/382234C00_RGB.png"/>
    <hyperlink ref="D2023" r:id="rId2022" display="https://us.pandora.net/on/demandware.static/-/Sites-pandora-master-catalog/default/dwbb259ca6/productimages/singlepackshot/382234C00_RGB.png"/>
    <hyperlink ref="D2024" r:id="rId2023" display="https://us.pandora.net/on/demandware.static/-/Sites-pandora-master-catalog/default/dwbb259ca6/productimages/singlepackshot/382234C00_RGB.png"/>
    <hyperlink ref="D2025" r:id="rId2024" display="https://us.pandora.net/on/demandware.static/-/Sites-pandora-master-catalog/default/dwbb259ca6/productimages/singlepackshot/382451C00_RGB.png"/>
    <hyperlink ref="D2026" r:id="rId2025" display="https://us.pandora.net/on/demandware.static/-/Sites-pandora-master-catalog/default/dwbb259ca6/productimages/singlepackshot/382778C01_RGB.png"/>
    <hyperlink ref="D2027" r:id="rId2026" display="https://us.pandora.net/on/demandware.static/-/Sites-pandora-master-catalog/default/dwbb259ca6/productimages/singlepackshot/387436C01_RGB.png"/>
    <hyperlink ref="D2028" r:id="rId2027" display="https://us.pandora.net/on/demandware.static/-/Sites-pandora-master-catalog/default/dwbb259ca6/productimages/singlepackshot/388283_RGB.png"/>
    <hyperlink ref="D2029" r:id="rId2028" display="https://us.pandora.net/on/demandware.static/-/Sites-pandora-master-catalog/default/dwbb259ca6/productimages/singlepackshot/388425C01_RGB.png"/>
    <hyperlink ref="D2030" r:id="rId2029" display="https://us.pandora.net/on/demandware.static/-/Sites-pandora-master-catalog/default/dwbb259ca6/productimages/singlepackshot/388425C02_RGB.png"/>
    <hyperlink ref="D2031" r:id="rId2030" display="https://us.pandora.net/on/demandware.static/-/Sites-pandora-master-catalog/default/dwbb259ca6/productimages/singlepackshot/388610C00_RGB.png"/>
    <hyperlink ref="D2032" r:id="rId2031" display="https://us.pandora.net/on/demandware.static/-/Sites-pandora-master-catalog/default/dwbb259ca6/productimages/singlepackshot/388914C00_RGB.png"/>
    <hyperlink ref="D2033" r:id="rId2032" display="https://us.pandora.net/on/demandware.static/-/Sites-pandora-master-catalog/default/dwbb259ca6/productimages/singlepackshot/389483C01_RGB.png"/>
    <hyperlink ref="D2034" r:id="rId2033" display="https://us.pandora.net/on/demandware.static/-/Sites-pandora-master-catalog/default/dwbb259ca6/productimages/singlepackshot/390055C01_RGB.png"/>
    <hyperlink ref="D2035" r:id="rId2034" display="https://us.pandora.net/on/demandware.static/-/Sites-pandora-master-catalog/default/dwbb259ca6/productimages/singlepackshot/391174C01_RGB.png"/>
    <hyperlink ref="D2036" r:id="rId2035" display="https://us.pandora.net/on/demandware.static/-/Sites-pandora-master-catalog/default/dwbb259ca6/productimages/singlepackshot/391229C01_RGB.png"/>
    <hyperlink ref="D2037" r:id="rId2036" display="https://us.pandora.net/on/demandware.static/-/Sites-pandora-master-catalog/default/dwbb259ca6/productimages/singlepackshot/391455C01_RGB.png"/>
    <hyperlink ref="D2038" r:id="rId2037" display="https://us.pandora.net/on/demandware.static/-/Sites-pandora-master-catalog/default/dwbb259ca6/productimages/singlepackshot/392303C00_RGB.png"/>
    <hyperlink ref="D2039" r:id="rId2038" display="https://us.pandora.net/on/demandware.static/-/Sites-pandora-master-catalog/default/dwbb259ca6/productimages/singlepackshot/392387C01_RGB.png"/>
    <hyperlink ref="D2040" r:id="rId2039" display="https://us.pandora.net/on/demandware.static/-/Sites-pandora-master-catalog/default/dwbb259ca6/productimages/singlepackshot/392387C02_RGB.png"/>
    <hyperlink ref="D2041" r:id="rId2040" display="https://us.pandora.net/on/demandware.static/-/Sites-pandora-master-catalog/default/dwbb259ca6/productimages/singlepackshot/392451C00_RGB.png"/>
    <hyperlink ref="D2042" r:id="rId2041" display="https://us.pandora.net/on/demandware.static/-/Sites-pandora-master-catalog/default/dwbb259ca6/productimages/singlepackshot/392542C01_RGB.png"/>
    <hyperlink ref="D2043" r:id="rId2042" display="https://us.pandora.net/on/demandware.static/-/Sites-pandora-master-catalog/default/dwbb259ca6/productimages/singlepackshot/392620C01_RGB.png"/>
    <hyperlink ref="D2044" r:id="rId2043" display="https://us.pandora.net/on/demandware.static/-/Sites-pandora-master-catalog/default/dwbb259ca6/productimages/singlepackshot/392666C01_RGB.png"/>
    <hyperlink ref="D2045" r:id="rId2044" display="https://us.pandora.net/on/demandware.static/-/Sites-pandora-master-catalog/default/dwbb259ca6/productimages/singlepackshot/392736C01_RGB.png"/>
    <hyperlink ref="D2046" r:id="rId2045" display="https://us.pandora.net/on/demandware.static/-/Sites-pandora-master-catalog/default/dwbb259ca6/productimages/singlepackshot/392799C00_RGB.png"/>
    <hyperlink ref="D2047" r:id="rId2046" display="https://us.pandora.net/on/demandware.static/-/Sites-pandora-master-catalog/default/dwbb259ca6/productimages/singlepackshot/392832C01_RGB.png"/>
    <hyperlink ref="D2048" r:id="rId2047" display="https://us.pandora.net/on/demandware.static/-/Sites-pandora-master-catalog/default/dwbb259ca6/productimages/singlepackshot/392991C01_RGB.png"/>
    <hyperlink ref="D2049" r:id="rId2048" display="https://us.pandora.net/on/demandware.static/-/Sites-pandora-master-catalog/default/dwbb259ca6/productimages/singlepackshot/393014C01_RGB.png"/>
    <hyperlink ref="D2050" r:id="rId2049" display="https://us.pandora.net/on/demandware.static/-/Sites-pandora-master-catalog/default/dwbb259ca6/productimages/singlepackshot/393052C00_RGB.png"/>
    <hyperlink ref="D2051" r:id="rId2050" display="https://us.pandora.net/on/demandware.static/-/Sites-pandora-master-catalog/default/dwbb259ca6/productimages/singlepackshot/393057C01_RGB.png"/>
    <hyperlink ref="D2052" r:id="rId2051" display="https://us.pandora.net/on/demandware.static/-/Sites-pandora-master-catalog/default/dwbb259ca6/productimages/singlepackshot/393076C01_RGB.png"/>
    <hyperlink ref="D2053" r:id="rId2052" display="https://us.pandora.net/on/demandware.static/-/Sites-pandora-master-catalog/default/dwbb259ca6/productimages/singlepackshot/393091C00_RGB.png"/>
    <hyperlink ref="D2054" r:id="rId2053" display="https://us.pandora.net/on/demandware.static/-/Sites-pandora-master-catalog/default/dwbb259ca6/productimages/singlepackshot/393099C01_RGB.png"/>
    <hyperlink ref="D2055" r:id="rId2054" display="https://us.pandora.net/on/demandware.static/-/Sites-pandora-master-catalog/default/dwbb259ca6/productimages/singlepackshot/393160C01_RGB.png"/>
    <hyperlink ref="D2056" r:id="rId2055" display="https://us.pandora.net/on/demandware.static/-/Sites-pandora-master-catalog/default/dwbb259ca6/productimages/singlepackshot/393161C01_RGB.png"/>
    <hyperlink ref="D2057" r:id="rId2056" display="https://us.pandora.net/on/demandware.static/-/Sites-pandora-master-catalog/default/dwbb259ca6/productimages/singlepackshot/393165C01_RGB.png"/>
    <hyperlink ref="D2058" r:id="rId2057" display="https://us.pandora.net/on/demandware.static/-/Sites-pandora-master-catalog/default/dwbb259ca6/productimages/singlepackshot/393167C01_RGB.png"/>
    <hyperlink ref="D2059" r:id="rId2058" display="https://us.pandora.net/on/demandware.static/-/Sites-pandora-master-catalog/default/dwbb259ca6/productimages/singlepackshot/393175C01_RGB.png"/>
    <hyperlink ref="D2060" r:id="rId2059" display="https://us.pandora.net/on/demandware.static/-/Sites-pandora-master-catalog/default/dwbb259ca6/productimages/singlepackshot/393176C01_RGB.png"/>
    <hyperlink ref="D2061" r:id="rId2060" display="https://us.pandora.net/on/demandware.static/-/Sites-pandora-master-catalog/default/dwbb259ca6/productimages/singlepackshot/393206C01_RGB.png"/>
    <hyperlink ref="D2062" r:id="rId2061" display="https://us.pandora.net/on/demandware.static/-/Sites-pandora-master-catalog/default/dwbb259ca6/productimages/singlepackshot/393272C00_RGB.png"/>
    <hyperlink ref="D2063" r:id="rId2062" display="https://us.pandora.net/on/demandware.static/-/Sites-pandora-master-catalog/default/dwbb259ca6/productimages/singlepackshot/393303C01_RGB.png"/>
    <hyperlink ref="D2064" r:id="rId2063" display="https://us.pandora.net/on/demandware.static/-/Sites-pandora-master-catalog/default/dwbb259ca6/productimages/singlepackshot/393334C00_RGB.png"/>
    <hyperlink ref="D2065" r:id="rId2064" display="https://us.pandora.net/on/demandware.static/-/Sites-pandora-master-catalog/default/dwbb259ca6/productimages/singlepackshot/393377C00_RGB.png"/>
    <hyperlink ref="D2066" r:id="rId2065" display="https://us.pandora.net/on/demandware.static/-/Sites-pandora-master-catalog/default/dwbb259ca6/productimages/singlepackshot/393416C00_RGB.png"/>
    <hyperlink ref="D2067" r:id="rId2066" display="https://us.pandora.net/on/demandware.static/-/Sites-pandora-master-catalog/default/dwbb259ca6/productimages/singlepackshot/393509C01_RGB.png"/>
    <hyperlink ref="D2068" r:id="rId2067" display="https://us.pandora.net/on/demandware.static/-/Sites-pandora-master-catalog/default/dwbb259ca6/productimages/singlepackshot/393529C00_RGB.png"/>
    <hyperlink ref="D2069" r:id="rId2068" display="https://us.pandora.net/on/demandware.static/-/Sites-pandora-master-catalog/default/dwbb259ca6/productimages/singlepackshot/393548C01_RGB.png"/>
    <hyperlink ref="D2070" r:id="rId2069" display="https://us.pandora.net/on/demandware.static/-/Sites-pandora-master-catalog/default/dwbb259ca6/productimages/singlepackshot/393549C01_RGB.png"/>
    <hyperlink ref="D2071" r:id="rId2070" display="https://us.pandora.net/on/demandware.static/-/Sites-pandora-master-catalog/default/dwbb259ca6/productimages/singlepackshot/393560C01_RGB.png"/>
    <hyperlink ref="D2072" r:id="rId2071" display="https://us.pandora.net/on/demandware.static/-/Sites-pandora-master-catalog/default/dwbb259ca6/productimages/singlepackshot/393560C02_RGB.png"/>
    <hyperlink ref="D2073" r:id="rId2072" display="https://us.pandora.net/on/demandware.static/-/Sites-pandora-master-catalog/default/dwbb259ca6/productimages/singlepackshot/393600C01_RGB.png"/>
    <hyperlink ref="D2074" r:id="rId2073" display="https://us.pandora.net/on/demandware.static/-/Sites-pandora-master-catalog/default/dwbb259ca6/productimages/singlepackshot/393632C01_RGB.png"/>
    <hyperlink ref="D2075" r:id="rId2074" display="https://us.pandora.net/on/demandware.static/-/Sites-pandora-master-catalog/default/dwbb259ca6/productimages/singlepackshot/393658C01_RGB.png"/>
    <hyperlink ref="D2076" r:id="rId2075" display="https://us.pandora.net/on/demandware.static/-/Sites-pandora-master-catalog/default/dwbb259ca6/productimages/singlepackshot/393669C01_RGB.png"/>
    <hyperlink ref="D2077" r:id="rId2076" display="https://us.pandora.net/on/demandware.static/-/Sites-pandora-master-catalog/default/dwbb259ca6/productimages/singlepackshot/393682C00_RGB.png"/>
    <hyperlink ref="D2078" r:id="rId2077" display="https://us.pandora.net/on/demandware.static/-/Sites-pandora-master-catalog/default/dwbb259ca6/productimages/singlepackshot/393682C00_RGB.png"/>
    <hyperlink ref="D2079" r:id="rId2078" display="https://us.pandora.net/on/demandware.static/-/Sites-pandora-master-catalog/default/dwbb259ca6/productimages/singlepackshot/393743C01_RGB.png"/>
    <hyperlink ref="D2080" r:id="rId2079" display="https://us.pandora.net/on/demandware.static/-/Sites-pandora-master-catalog/default/dwbb259ca6/productimages/singlepackshot/393762C01_RGB.png"/>
    <hyperlink ref="D2081" r:id="rId2080" display="https://us.pandora.net/on/demandware.static/-/Sites-pandora-master-catalog/default/dwbb259ca6/productimages/singlepackshot/393776C01_RGB.png"/>
    <hyperlink ref="D2082" r:id="rId2081" display="https://us.pandora.net/on/demandware.static/-/Sites-pandora-master-catalog/default/dwbb259ca6/productimages/singlepackshot/393806C01_RGB.png"/>
    <hyperlink ref="D2083" r:id="rId2082" display="https://us.pandora.net/on/demandware.static/-/Sites-pandora-master-catalog/default/dwbb259ca6/productimages/singlepackshot/393861C00_RGB.png"/>
    <hyperlink ref="D2084" r:id="rId2083" display="https://us.pandora.net/on/demandware.static/-/Sites-pandora-master-catalog/default/dwbb259ca6/productimages/singlepackshot/393899C00_RGB.png"/>
    <hyperlink ref="D2085" r:id="rId2084" display="https://us.pandora.net/on/demandware.static/-/Sites-pandora-master-catalog/default/dwbb259ca6/productimages/singlepackshot/394007C01_RGB.png"/>
    <hyperlink ref="D2086" r:id="rId2085" display="https://us.pandora.net/on/demandware.static/-/Sites-pandora-master-catalog/default/dwbb259ca6/productimages/singlepackshot/394009C01_RGB.png"/>
    <hyperlink ref="D2087" r:id="rId2086" display="https://us.pandora.net/on/demandware.static/-/Sites-pandora-master-catalog/default/dwbb259ca6/productimages/singlepackshot/394012C01_RGB.png"/>
    <hyperlink ref="D2088" r:id="rId2087" display="https://us.pandora.net/on/demandware.static/-/Sites-pandora-master-catalog/default/dwbb259ca6/productimages/singlepackshot/394013C01_RGB.png"/>
    <hyperlink ref="D2089" r:id="rId2088" display="https://us.pandora.net/on/demandware.static/-/Sites-pandora-master-catalog/default/dwbb259ca6/productimages/singlepackshot/394014C00_RGB.png"/>
    <hyperlink ref="D2090" r:id="rId2089" display="https://us.pandora.net/on/demandware.static/-/Sites-pandora-master-catalog/default/dwbb259ca6/productimages/singlepackshot/394086C01_RGB.png"/>
    <hyperlink ref="D2091" r:id="rId2090" display="https://us.pandora.net/on/demandware.static/-/Sites-pandora-master-catalog/default/dwbb259ca6/productimages/singlepackshot/394231C01_RGB.png"/>
    <hyperlink ref="D2092" r:id="rId2091" display="https://us.pandora.net/on/demandware.static/-/Sites-pandora-master-catalog/default/dwbb259ca6/productimages/singlepackshot/394232C01_RGB.png"/>
    <hyperlink ref="D2093" r:id="rId2092" display="https://us.pandora.net/on/demandware.static/-/Sites-pandora-master-catalog/default/dwbb259ca6/productimages/singlepackshot/394235C01_RGB.png"/>
    <hyperlink ref="D2094" r:id="rId2093" display="https://us.pandora.net/on/demandware.static/-/Sites-pandora-master-catalog/default/dwbb259ca6/productimages/singlepackshot/394259C01_RGB.png"/>
    <hyperlink ref="D2095" r:id="rId2094" display="https://us.pandora.net/on/demandware.static/-/Sites-pandora-master-catalog/default/dwbb259ca6/productimages/singlepackshot/394266C01_RGB.png"/>
    <hyperlink ref="D2096" r:id="rId2095" display="https://us.pandora.net/on/demandware.static/-/Sites-pandora-master-catalog/default/dwbb259ca6/productimages/singlepackshot/396240CZ_RGB.png"/>
    <hyperlink ref="D2097" r:id="rId2096" display="https://us.pandora.net/on/demandware.static/-/Sites-pandora-master-catalog/default/dwbb259ca6/productimages/singlepackshot/396241CZ_RGB.png"/>
    <hyperlink ref="D2098" r:id="rId2097" display="https://us.pandora.net/on/demandware.static/-/Sites-pandora-master-catalog/default/dwbb259ca6/productimages/singlepackshot/397436CZ_RGB.png"/>
    <hyperlink ref="D2099" r:id="rId2098" display="https://us.pandora.net/on/demandware.static/-/Sites-pandora-master-catalog/default/dwbb259ca6/productimages/singlepackshot/397571CZ_RGB.png"/>
    <hyperlink ref="D2100" r:id="rId2099" display="https://us.pandora.net/on/demandware.static/-/Sites-pandora-master-catalog/default/dwbb259ca6/productimages/singlepackshot/398283_RGB.png"/>
    <hyperlink ref="D2101" r:id="rId2100" display="https://us.pandora.net/on/demandware.static/-/Sites-pandora-master-catalog/default/dwbb259ca6/productimages/singlepackshot/398296_RGB.png"/>
    <hyperlink ref="D2102" r:id="rId2101" display="https://us.pandora.net/on/demandware.static/-/Sites-pandora-master-catalog/default/dwbb259ca6/productimages/singlepackshot/398425C01_RGB.png"/>
    <hyperlink ref="D2103" r:id="rId2102" display="https://us.pandora.net/on/demandware.static/-/Sites-pandora-master-catalog/default/dwbb259ca6/productimages/singlepackshot/398425C02_RGB.png"/>
    <hyperlink ref="D2104" r:id="rId2103" display="https://us.pandora.net/on/demandware.static/-/Sites-pandora-master-catalog/default/dwbb259ca6/productimages/singlepackshot/398425C03_RGB.png"/>
    <hyperlink ref="D2105" r:id="rId2104" display="https://us.pandora.net/on/demandware.static/-/Sites-pandora-master-catalog/default/dwbb259ca6/productimages/singlepackshot/398610C00_RGB.png"/>
    <hyperlink ref="D2106" r:id="rId2105" display="https://us.pandora.net/on/demandware.static/-/Sites-pandora-master-catalog/default/dwbb259ca6/productimages/singlepackshot/398611C00_RGB.png"/>
    <hyperlink ref="D2107" r:id="rId2106" display="https://us.pandora.net/on/demandware.static/-/Sites-pandora-master-catalog/default/dwbb259ca6/productimages/singlepackshot/398821C01_RGB.png"/>
    <hyperlink ref="D2108" r:id="rId2107" display="https://us.pandora.net/on/demandware.static/-/Sites-pandora-master-catalog/default/dwbb259ca6/productimages/singlepackshot/398914C00_RGB.png"/>
    <hyperlink ref="D2109" r:id="rId2108" display="https://us.pandora.net/on/demandware.static/-/Sites-pandora-master-catalog/default/dwbb259ca6/productimages/singlepackshot/399260C00_RGB.png"/>
    <hyperlink ref="D2110" r:id="rId2109" display="https://us.pandora.net/on/demandware.static/-/Sites-pandora-master-catalog/default/dwbb259ca6/productimages/singlepackshot/399384C00_RGB.png"/>
    <hyperlink ref="D2111" r:id="rId2110" display="https://us.pandora.net/on/demandware.static/-/Sites-pandora-master-catalog/default/dwbb259ca6/productimages/singlepackshot/399566C00_RGB.png"/>
    <hyperlink ref="D2112" r:id="rId2111" display="https://us.pandora.net/on/demandware.static/-/Sites-pandora-master-catalog/default/dwbb259ca6/productimages/singlepackshot/399567C00_RGB.png"/>
    <hyperlink ref="D2113" r:id="rId2112" display="https://us.pandora.net/on/demandware.static/-/Sites-pandora-master-catalog/default/dwbb259ca6/productimages/singlepackshot/399590C00_RGB.png"/>
    <hyperlink ref="D2114" r:id="rId2113" display="https://us.pandora.net/on/demandware.static/-/Sites-pandora-master-catalog/default/dwbb259ca6/productimages/singlepackshot/399658C01_RGB.png"/>
    <hyperlink ref="D2115" r:id="rId2114" display="https://us.pandora.net/on/demandware.static/-/Sites-pandora-master-catalog/default/dwbb259ca6/productimages/singlepackshot/399685C00_RGB.png"/>
    <hyperlink ref="D2116" r:id="rId2115" display="https://us.pandora.net/on/demandware.static/-/Sites-pandora-master-catalog/default/dwbb259ca6/productimages/singlepackshot/550702_RGB.png"/>
    <hyperlink ref="D2117" r:id="rId2116" display="https://us.pandora.net/on/demandware.static/-/Sites-pandora-master-catalog/default/dwbb259ca6/productimages/singlepackshot/550702_RGB.png"/>
    <hyperlink ref="D2118" r:id="rId2117" display="https://us.pandora.net/on/demandware.static/-/Sites-pandora-master-catalog/default/dwbb259ca6/productimages/singlepackshot/550702_RGB.png"/>
    <hyperlink ref="D2119" r:id="rId2118" display="https://us.pandora.net/on/demandware.static/-/Sites-pandora-master-catalog/default/dwbb259ca6/productimages/singlepackshot/550702_RGB.png"/>
    <hyperlink ref="D2120" r:id="rId2119" display="https://us.pandora.net/on/demandware.static/-/Sites-pandora-master-catalog/default/dwbb259ca6/productimages/singlepackshot/550702_RGB.png"/>
    <hyperlink ref="D2121" r:id="rId2120" display="https://us.pandora.net/on/demandware.static/-/Sites-pandora-master-catalog/default/dwbb259ca6/productimages/singlepackshot/559539C00_RGB.png"/>
    <hyperlink ref="D2122" r:id="rId2121" display="https://us.pandora.net/on/demandware.static/-/Sites-pandora-master-catalog/default/dwbb259ca6/productimages/singlepackshot/559539C00_RGB.png"/>
    <hyperlink ref="D2123" r:id="rId2122" display="https://us.pandora.net/on/demandware.static/-/Sites-pandora-master-catalog/default/dwbb259ca6/productimages/singlepackshot/559539C00_RGB.png"/>
    <hyperlink ref="D2124" r:id="rId2123" display="https://us.pandora.net/on/demandware.static/-/Sites-pandora-master-catalog/default/dwbb259ca6/productimages/singlepackshot/559539C00_RGB.png"/>
    <hyperlink ref="D2125" r:id="rId2124" display="https://us.pandora.net/on/demandware.static/-/Sites-pandora-master-catalog/default/dwbb259ca6/productimages/singlepackshot/559539C00_RGB.png"/>
    <hyperlink ref="D2126" r:id="rId2125" display="https://us.pandora.net/on/demandware.static/-/Sites-pandora-master-catalog/default/dwbb259ca6/productimages/singlepackshot/559539C00_RGB.png"/>
    <hyperlink ref="D2127" r:id="rId2126" display="https://us.pandora.net/on/demandware.static/-/Sites-pandora-master-catalog/default/dwbb259ca6/productimages/singlepackshot/559539C00_RGB.png"/>
    <hyperlink ref="D2128" r:id="rId2127" display="https://us.pandora.net/on/demandware.static/-/Sites-pandora-master-catalog/default/dwbb259ca6/productimages/singlepackshot/560041C01_RGB.png"/>
    <hyperlink ref="D2129" r:id="rId2128" display="https://us.pandora.net/on/demandware.static/-/Sites-pandora-master-catalog/default/dwbb259ca6/productimages/singlepackshot/560041C01_RGB.png"/>
    <hyperlink ref="D2130" r:id="rId2129" display="https://us.pandora.net/on/demandware.static/-/Sites-pandora-master-catalog/default/dwbb259ca6/productimages/singlepackshot/560041C01_RGB.png"/>
    <hyperlink ref="D2131" r:id="rId2130" display="https://us.pandora.net/on/demandware.static/-/Sites-pandora-master-catalog/default/dwbb259ca6/productimages/singlepackshot/561469C01_RGB.png"/>
    <hyperlink ref="D2132" r:id="rId2131" display="https://us.pandora.net/on/demandware.static/-/Sites-pandora-master-catalog/default/dwbb259ca6/productimages/singlepackshot/561469C01_RGB.png"/>
    <hyperlink ref="D2133" r:id="rId2132" display="https://us.pandora.net/on/demandware.static/-/Sites-pandora-master-catalog/default/dwbb259ca6/productimages/singlepackshot/561469C01_RGB.png"/>
    <hyperlink ref="D2134" r:id="rId2133" display="https://us.pandora.net/on/demandware.static/-/Sites-pandora-master-catalog/default/dwbb259ca6/productimages/singlepackshot/561469C02_RGB.png"/>
    <hyperlink ref="D2135" r:id="rId2134" display="https://us.pandora.net/on/demandware.static/-/Sites-pandora-master-catalog/default/dwbb259ca6/productimages/singlepackshot/561469C02_RGB.png"/>
    <hyperlink ref="D2136" r:id="rId2135" display="https://us.pandora.net/on/demandware.static/-/Sites-pandora-master-catalog/default/dwbb259ca6/productimages/singlepackshot/561469C02_RGB.png"/>
    <hyperlink ref="D2137" r:id="rId2136" display="https://us.pandora.net/on/demandware.static/-/Sites-pandora-master-catalog/default/dwbb259ca6/productimages/singlepackshot/561469C03_RGB.png"/>
    <hyperlink ref="D2138" r:id="rId2137" display="https://us.pandora.net/on/demandware.static/-/Sites-pandora-master-catalog/default/dwbb259ca6/productimages/singlepackshot/561469C03_RGB.png"/>
    <hyperlink ref="D2139" r:id="rId2138" display="https://us.pandora.net/on/demandware.static/-/Sites-pandora-master-catalog/default/dwbb259ca6/productimages/singlepackshot/561469C03_RGB.png"/>
    <hyperlink ref="D2140" r:id="rId2139" display="https://us.pandora.net/on/demandware.static/-/Sites-pandora-master-catalog/default/dwbb259ca6/productimages/singlepackshot/562731C00_RGB.png"/>
    <hyperlink ref="D2141" r:id="rId2140" display="https://us.pandora.net/on/demandware.static/-/Sites-pandora-master-catalog/default/dwbb259ca6/productimages/singlepackshot/562731C00_RGB.png"/>
    <hyperlink ref="D2142" r:id="rId2141" display="https://us.pandora.net/on/demandware.static/-/Sites-pandora-master-catalog/default/dwbb259ca6/productimages/singlepackshot/562731C00_RGB.png"/>
    <hyperlink ref="D2143" r:id="rId2142" display="https://us.pandora.net/on/demandware.static/-/Sites-pandora-master-catalog/default/dwbb259ca6/productimages/singlepackshot/562731C00_RGB.png"/>
    <hyperlink ref="D2144" r:id="rId2143" display="https://us.pandora.net/on/demandware.static/-/Sites-pandora-master-catalog/default/dwbb259ca6/productimages/singlepackshot/562731C00_RGB.png"/>
    <hyperlink ref="D2145" r:id="rId2144" display="https://us.pandora.net/on/demandware.static/-/Sites-pandora-master-catalog/default/dwbb259ca6/productimages/singlepackshot/562731C00_RGB.png"/>
    <hyperlink ref="D2146" r:id="rId2145" display="https://us.pandora.net/on/demandware.static/-/Sites-pandora-master-catalog/default/dwbb259ca6/productimages/singlepackshot/562731C00_RGB.png"/>
    <hyperlink ref="D2147" r:id="rId2146" display="https://us.pandora.net/on/demandware.static/-/Sites-pandora-master-catalog/default/dwbb259ca6/productimages/singlepackshot/562793C00_RGB.png"/>
    <hyperlink ref="D2148" r:id="rId2147" display="https://us.pandora.net/on/demandware.static/-/Sites-pandora-master-catalog/default/dwbb259ca6/productimages/singlepackshot/562793C00_RGB.png"/>
    <hyperlink ref="D2149" r:id="rId2148" display="https://us.pandora.net/on/demandware.static/-/Sites-pandora-master-catalog/default/dwbb259ca6/productimages/singlepackshot/562793C00_RGB.png"/>
    <hyperlink ref="D2150" r:id="rId2149" display="https://us.pandora.net/on/demandware.static/-/Sites-pandora-master-catalog/default/dwbb259ca6/productimages/singlepackshot/562793C00_RGB.png"/>
    <hyperlink ref="D2151" r:id="rId2150" display="https://us.pandora.net/on/demandware.static/-/Sites-pandora-master-catalog/default/dwbb259ca6/productimages/singlepackshot/562793C00_RGB.png"/>
    <hyperlink ref="D2152" r:id="rId2151" display="https://us.pandora.net/on/demandware.static/-/Sites-pandora-master-catalog/default/dwbb259ca6/productimages/singlepackshot/563008C01_RGB.png"/>
    <hyperlink ref="D2153" r:id="rId2152" display="https://us.pandora.net/on/demandware.static/-/Sites-pandora-master-catalog/default/dwbb259ca6/productimages/singlepackshot/563008C01_RGB.png"/>
    <hyperlink ref="D2154" r:id="rId2153" display="https://us.pandora.net/on/demandware.static/-/Sites-pandora-master-catalog/default/dwbb259ca6/productimages/singlepackshot/563008C01_RGB.png"/>
    <hyperlink ref="D2155" r:id="rId2154" display="https://us.pandora.net/on/demandware.static/-/Sites-pandora-master-catalog/default/dwbb259ca6/productimages/singlepackshot/563050C00_RGB.png"/>
    <hyperlink ref="D2156" r:id="rId2155" display="https://us.pandora.net/on/demandware.static/-/Sites-pandora-master-catalog/default/dwbb259ca6/productimages/singlepackshot/563050C00_RGB.png"/>
    <hyperlink ref="D2157" r:id="rId2156" display="https://us.pandora.net/on/demandware.static/-/Sites-pandora-master-catalog/default/dwbb259ca6/productimages/singlepackshot/563050C00_RGB.png"/>
    <hyperlink ref="D2158" r:id="rId2157" display="https://us.pandora.net/on/demandware.static/-/Sites-pandora-master-catalog/default/dwbb259ca6/productimages/singlepackshot/563050C00_RGB.png"/>
    <hyperlink ref="D2159" r:id="rId2158" display="https://us.pandora.net/on/demandware.static/-/Sites-pandora-master-catalog/default/dwbb259ca6/productimages/singlepackshot/563050C00_RGB.png"/>
    <hyperlink ref="D2160" r:id="rId2159" display="https://us.pandora.net/on/demandware.static/-/Sites-pandora-master-catalog/default/dwbb259ca6/productimages/singlepackshot/563050C00_RGB.png"/>
    <hyperlink ref="D2161" r:id="rId2160" display="https://us.pandora.net/on/demandware.static/-/Sites-pandora-master-catalog/default/dwbb259ca6/productimages/singlepackshot/563050C00_RGB.png"/>
    <hyperlink ref="D2162" r:id="rId2161" display="https://us.pandora.net/on/demandware.static/-/Sites-pandora-master-catalog/default/dwbb259ca6/productimages/singlepackshot/563090C00_RGB.png"/>
    <hyperlink ref="D2163" r:id="rId2162" display="https://us.pandora.net/on/demandware.static/-/Sites-pandora-master-catalog/default/dwbb259ca6/productimages/singlepackshot/563173C01_RGB.png"/>
    <hyperlink ref="D2164" r:id="rId2163" display="https://us.pandora.net/on/demandware.static/-/Sites-pandora-master-catalog/default/dwbb259ca6/productimages/singlepackshot/563173C01_RGB.png"/>
    <hyperlink ref="D2165" r:id="rId2164" display="https://us.pandora.net/on/demandware.static/-/Sites-pandora-master-catalog/default/dwbb259ca6/productimages/singlepackshot/563173C01_RGB.png"/>
    <hyperlink ref="D2166" r:id="rId2165" display="https://us.pandora.net/on/demandware.static/-/Sites-pandora-master-catalog/default/dwbb259ca6/productimages/singlepackshot/563302C00_RGB.png"/>
    <hyperlink ref="D2167" r:id="rId2166" display="https://us.pandora.net/on/demandware.static/-/Sites-pandora-master-catalog/default/dwbb259ca6/productimages/singlepackshot/563302C00_RGB.png"/>
    <hyperlink ref="D2168" r:id="rId2167" display="https://us.pandora.net/on/demandware.static/-/Sites-pandora-master-catalog/default/dwbb259ca6/productimages/singlepackshot/563302C00_RGB.png"/>
    <hyperlink ref="D2169" r:id="rId2168" display="https://us.pandora.net/on/demandware.static/-/Sites-pandora-master-catalog/default/dwbb259ca6/productimages/singlepackshot/563310C00_RGB.png"/>
    <hyperlink ref="D2170" r:id="rId2169" display="https://us.pandora.net/on/demandware.static/-/Sites-pandora-master-catalog/default/dwbb259ca6/productimages/singlepackshot/563310C00_RGB.png"/>
    <hyperlink ref="D2171" r:id="rId2170" display="https://us.pandora.net/on/demandware.static/-/Sites-pandora-master-catalog/default/dwbb259ca6/productimages/singlepackshot/563310C00_RGB.png"/>
    <hyperlink ref="D2172" r:id="rId2171" display="https://us.pandora.net/on/demandware.static/-/Sites-pandora-master-catalog/default/dwbb259ca6/productimages/singlepackshot/563317C00_RGB.png"/>
    <hyperlink ref="D2173" r:id="rId2172" display="https://us.pandora.net/on/demandware.static/-/Sites-pandora-master-catalog/default/dwbb259ca6/productimages/singlepackshot/563317C00_RGB.png"/>
    <hyperlink ref="D2174" r:id="rId2173" display="https://us.pandora.net/on/demandware.static/-/Sites-pandora-master-catalog/default/dwbb259ca6/productimages/singlepackshot/563317C00_RGB.png"/>
    <hyperlink ref="D2175" r:id="rId2174" display="https://us.pandora.net/on/demandware.static/-/Sites-pandora-master-catalog/default/dwbb259ca6/productimages/singlepackshot/563390C00_RGB.png"/>
    <hyperlink ref="D2176" r:id="rId2175" display="https://us.pandora.net/on/demandware.static/-/Sites-pandora-master-catalog/default/dwbb259ca6/productimages/singlepackshot/563390C00_RGB.png"/>
    <hyperlink ref="D2177" r:id="rId2176" display="https://us.pandora.net/on/demandware.static/-/Sites-pandora-master-catalog/default/dwbb259ca6/productimages/singlepackshot/563390C00_RGB.png"/>
    <hyperlink ref="D2178" r:id="rId2177" display="https://us.pandora.net/on/demandware.static/-/Sites-pandora-master-catalog/default/dwbb259ca6/productimages/singlepackshot/563390C00_RGB.png"/>
    <hyperlink ref="D2179" r:id="rId2178" display="https://us.pandora.net/on/demandware.static/-/Sites-pandora-master-catalog/default/dwbb259ca6/productimages/singlepackshot/563390C00_RGB.png"/>
    <hyperlink ref="D2180" r:id="rId2179" display="https://us.pandora.net/on/demandware.static/-/Sites-pandora-master-catalog/default/dwbb259ca6/productimages/singlepackshot/563390C00_RGB.png"/>
    <hyperlink ref="D2181" r:id="rId2180" display="https://us.pandora.net/on/demandware.static/-/Sites-pandora-master-catalog/default/dwbb259ca6/productimages/singlepackshot/563390C00_RGB.png"/>
    <hyperlink ref="D2182" r:id="rId2181" display="https://us.pandora.net/on/demandware.static/-/Sites-pandora-master-catalog/default/dwbb259ca6/productimages/singlepackshot/563401C01_RGB.png"/>
    <hyperlink ref="D2183" r:id="rId2182" display="https://us.pandora.net/on/demandware.static/-/Sites-pandora-master-catalog/default/dwbb259ca6/productimages/singlepackshot/563401C01_RGB.png"/>
    <hyperlink ref="D2184" r:id="rId2183" display="https://us.pandora.net/on/demandware.static/-/Sites-pandora-master-catalog/default/dwbb259ca6/productimages/singlepackshot/563401C01_RGB.png"/>
    <hyperlink ref="D2185" r:id="rId2184" display="https://us.pandora.net/on/demandware.static/-/Sites-pandora-master-catalog/default/dwbb259ca6/productimages/singlepackshot/563516C01_RGB.png"/>
    <hyperlink ref="D2186" r:id="rId2185" display="https://us.pandora.net/on/demandware.static/-/Sites-pandora-master-catalog/default/dwbb259ca6/productimages/singlepackshot/563516C01_RGB.png"/>
    <hyperlink ref="D2187" r:id="rId2186" display="https://us.pandora.net/on/demandware.static/-/Sites-pandora-master-catalog/default/dwbb259ca6/productimages/singlepackshot/563516C01_RGB.png"/>
    <hyperlink ref="D2188" r:id="rId2187" display="https://us.pandora.net/on/demandware.static/-/Sites-pandora-master-catalog/default/dwbb259ca6/productimages/singlepackshot/563516C01_RGB.png"/>
    <hyperlink ref="D2189" r:id="rId2188" display="https://us.pandora.net/on/demandware.static/-/Sites-pandora-master-catalog/default/dwbb259ca6/productimages/singlepackshot/563516C01_RGB.png"/>
    <hyperlink ref="D2190" r:id="rId2189" display="https://us.pandora.net/on/demandware.static/-/Sites-pandora-master-catalog/default/dwbb259ca6/productimages/singlepackshot/563516C01_RGB.png"/>
    <hyperlink ref="D2191" r:id="rId2190" display="https://us.pandora.net/on/demandware.static/-/Sites-pandora-master-catalog/default/dwbb259ca6/productimages/singlepackshot/563516C01_RGB.png"/>
    <hyperlink ref="D2192" r:id="rId2191" display="https://us.pandora.net/on/demandware.static/-/Sites-pandora-master-catalog/default/dwbb259ca6/productimages/singlepackshot/563539C01_RGB.png"/>
    <hyperlink ref="D2193" r:id="rId2192" display="https://us.pandora.net/on/demandware.static/-/Sites-pandora-master-catalog/default/dwbb259ca6/productimages/singlepackshot/563539C01_RGB.png"/>
    <hyperlink ref="D2194" r:id="rId2193" display="https://us.pandora.net/on/demandware.static/-/Sites-pandora-master-catalog/default/dwbb259ca6/productimages/singlepackshot/563539C01_RGB.png"/>
    <hyperlink ref="D2195" r:id="rId2194" display="https://us.pandora.net/on/demandware.static/-/Sites-pandora-master-catalog/default/dwbb259ca6/productimages/singlepackshot/563580C01_RGB.png"/>
    <hyperlink ref="D2196" r:id="rId2195" display="https://us.pandora.net/on/demandware.static/-/Sites-pandora-master-catalog/default/dwbb259ca6/productimages/singlepackshot/563683C01_RGB.png"/>
    <hyperlink ref="D2197" r:id="rId2196" display="https://us.pandora.net/on/demandware.static/-/Sites-pandora-master-catalog/default/dwbb259ca6/productimages/singlepackshot/563683C01_RGB.png"/>
    <hyperlink ref="D2198" r:id="rId2197" display="https://us.pandora.net/on/demandware.static/-/Sites-pandora-master-catalog/default/dwbb259ca6/productimages/singlepackshot/563683C01_RGB.png"/>
    <hyperlink ref="D2199" r:id="rId2198" display="https://us.pandora.net/on/demandware.static/-/Sites-pandora-master-catalog/default/dwbb259ca6/productimages/singlepackshot/563683C01_RGB.png"/>
    <hyperlink ref="D2200" r:id="rId2199" display="https://us.pandora.net/on/demandware.static/-/Sites-pandora-master-catalog/default/dwbb259ca6/productimages/singlepackshot/563683C01_RGB.png"/>
    <hyperlink ref="D2201" r:id="rId2200" display="https://us.pandora.net/on/demandware.static/-/Sites-pandora-master-catalog/default/dwbb259ca6/productimages/singlepackshot/563683C01_RGB.png"/>
    <hyperlink ref="D2202" r:id="rId2201" display="https://us.pandora.net/on/demandware.static/-/Sites-pandora-master-catalog/default/dwbb259ca6/productimages/singlepackshot/563683C01_RGB.png"/>
    <hyperlink ref="D2203" r:id="rId2202" display="https://us.pandora.net/on/demandware.static/-/Sites-pandora-master-catalog/default/dwbb259ca6/productimages/singlepackshot/563689C00_RGB.png"/>
    <hyperlink ref="D2204" r:id="rId2203" display="https://us.pandora.net/on/demandware.static/-/Sites-pandora-master-catalog/default/dwbb259ca6/productimages/singlepackshot/563689C00_RGB.png"/>
    <hyperlink ref="D2205" r:id="rId2204" display="https://us.pandora.net/on/demandware.static/-/Sites-pandora-master-catalog/default/dwbb259ca6/productimages/singlepackshot/563689C00_RGB.png"/>
    <hyperlink ref="D2206" r:id="rId2205" display="https://us.pandora.net/on/demandware.static/-/Sites-pandora-master-catalog/default/dwbb259ca6/productimages/singlepackshot/563689C00_RGB.png"/>
    <hyperlink ref="D2207" r:id="rId2206" display="https://us.pandora.net/on/demandware.static/-/Sites-pandora-master-catalog/default/dwbb259ca6/productimages/singlepackshot/563689C00_RGB.png"/>
    <hyperlink ref="D2208" r:id="rId2207" display="https://us.pandora.net/on/demandware.static/-/Sites-pandora-master-catalog/default/dwbb259ca6/productimages/singlepackshot/563758C01_RGB.png"/>
    <hyperlink ref="D2209" r:id="rId2208" display="https://us.pandora.net/on/demandware.static/-/Sites-pandora-master-catalog/default/dwbb259ca6/productimages/singlepackshot/563758C01_RGB.png"/>
    <hyperlink ref="D2210" r:id="rId2209" display="https://us.pandora.net/on/demandware.static/-/Sites-pandora-master-catalog/default/dwbb259ca6/productimages/singlepackshot/563758C01_RGB.png"/>
    <hyperlink ref="D2211" r:id="rId2210" display="https://us.pandora.net/on/demandware.static/-/Sites-pandora-master-catalog/default/dwbb259ca6/productimages/singlepackshot/563758C01_RGB.png"/>
    <hyperlink ref="D2212" r:id="rId2211" display="https://us.pandora.net/on/demandware.static/-/Sites-pandora-master-catalog/default/dwbb259ca6/productimages/singlepackshot/563758C01_RGB.png"/>
    <hyperlink ref="D2213" r:id="rId2212" display="https://us.pandora.net/on/demandware.static/-/Sites-pandora-master-catalog/default/dwbb259ca6/productimages/singlepackshot/563758C01_RGB.png"/>
    <hyperlink ref="D2214" r:id="rId2213" display="https://us.pandora.net/on/demandware.static/-/Sites-pandora-master-catalog/default/dwbb259ca6/productimages/singlepackshot/563758C01_RGB.png"/>
    <hyperlink ref="D2215" r:id="rId2214" display="https://us.pandora.net/on/demandware.static/-/Sites-pandora-master-catalog/default/dwbb259ca6/productimages/singlepackshot/563808C00_RGB.png"/>
    <hyperlink ref="D2216" r:id="rId2215" display="https://us.pandora.net/on/demandware.static/-/Sites-pandora-master-catalog/default/dwbb259ca6/productimages/singlepackshot/563808C00_RGB.png"/>
    <hyperlink ref="D2217" r:id="rId2216" display="https://us.pandora.net/on/demandware.static/-/Sites-pandora-master-catalog/default/dwbb259ca6/productimages/singlepackshot/563808C00_RGB.png"/>
    <hyperlink ref="D2218" r:id="rId2217" display="https://us.pandora.net/on/demandware.static/-/Sites-pandora-master-catalog/default/dwbb259ca6/productimages/singlepackshot/563811C00_RGB.png"/>
    <hyperlink ref="D2219" r:id="rId2218" display="https://us.pandora.net/on/demandware.static/-/Sites-pandora-master-catalog/default/dwbb259ca6/productimages/singlepackshot/563811C00_RGB.png"/>
    <hyperlink ref="D2220" r:id="rId2219" display="https://us.pandora.net/on/demandware.static/-/Sites-pandora-master-catalog/default/dwbb259ca6/productimages/singlepackshot/563811C00_RGB.png"/>
    <hyperlink ref="D2221" r:id="rId2220" display="https://us.pandora.net/on/demandware.static/-/Sites-pandora-master-catalog/default/dwbb259ca6/productimages/singlepackshot/563811C00_RGB.png"/>
    <hyperlink ref="D2222" r:id="rId2221" display="https://us.pandora.net/on/demandware.static/-/Sites-pandora-master-catalog/default/dwbb259ca6/productimages/singlepackshot/563811C00_RGB.png"/>
    <hyperlink ref="D2223" r:id="rId2222" display="https://us.pandora.net/on/demandware.static/-/Sites-pandora-master-catalog/default/dwbb259ca6/productimages/singlepackshot/563811C00_RGB.png"/>
    <hyperlink ref="D2224" r:id="rId2223" display="https://us.pandora.net/on/demandware.static/-/Sites-pandora-master-catalog/default/dwbb259ca6/productimages/singlepackshot/563829C00_RGB.png"/>
    <hyperlink ref="D2225" r:id="rId2224" display="https://us.pandora.net/on/demandware.static/-/Sites-pandora-master-catalog/default/dwbb259ca6/productimages/singlepackshot/563829C00_RGB.png"/>
    <hyperlink ref="D2226" r:id="rId2225" display="https://us.pandora.net/on/demandware.static/-/Sites-pandora-master-catalog/default/dwbb259ca6/productimages/singlepackshot/563829C00_RGB.png"/>
    <hyperlink ref="D2227" r:id="rId2226" display="https://us.pandora.net/on/demandware.static/-/Sites-pandora-master-catalog/default/dwbb259ca6/productimages/singlepackshot/563829C00_RGB.png"/>
    <hyperlink ref="D2228" r:id="rId2227" display="https://us.pandora.net/on/demandware.static/-/Sites-pandora-master-catalog/default/dwbb259ca6/productimages/singlepackshot/563829C00_RGB.png"/>
    <hyperlink ref="D2229" r:id="rId2228" display="https://us.pandora.net/on/demandware.static/-/Sites-pandora-master-catalog/default/dwbb259ca6/productimages/singlepackshot/563830C01_RGB.png"/>
    <hyperlink ref="D2230" r:id="rId2229" display="https://us.pandora.net/on/demandware.static/-/Sites-pandora-master-catalog/default/dwbb259ca6/productimages/singlepackshot/563830C01_RGB.png"/>
    <hyperlink ref="D2231" r:id="rId2230" display="https://us.pandora.net/on/demandware.static/-/Sites-pandora-master-catalog/default/dwbb259ca6/productimages/singlepackshot/563830C01_RGB.png"/>
    <hyperlink ref="D2232" r:id="rId2231" display="https://us.pandora.net/on/demandware.static/-/Sites-pandora-master-catalog/default/dwbb259ca6/productimages/singlepackshot/563864C00_RGB.png"/>
    <hyperlink ref="D2233" r:id="rId2232" display="https://us.pandora.net/on/demandware.static/-/Sites-pandora-master-catalog/default/dwbb259ca6/productimages/singlepackshot/563864C00_RGB.png"/>
    <hyperlink ref="D2234" r:id="rId2233" display="https://us.pandora.net/on/demandware.static/-/Sites-pandora-master-catalog/default/dwbb259ca6/productimages/singlepackshot/563864C00_RGB.png"/>
    <hyperlink ref="D2235" r:id="rId2234" display="https://us.pandora.net/on/demandware.static/-/Sites-pandora-master-catalog/default/dwbb259ca6/productimages/singlepackshot/563867C00_RGB.png"/>
    <hyperlink ref="D2236" r:id="rId2235" display="https://us.pandora.net/on/demandware.static/-/Sites-pandora-master-catalog/default/dwbb259ca6/productimages/singlepackshot/563867C00_RGB.png"/>
    <hyperlink ref="D2237" r:id="rId2236" display="https://us.pandora.net/on/demandware.static/-/Sites-pandora-master-catalog/default/dwbb259ca6/productimages/singlepackshot/563867C00_RGB.png"/>
    <hyperlink ref="D2238" r:id="rId2237" display="https://us.pandora.net/on/demandware.static/-/Sites-pandora-master-catalog/default/dwbb259ca6/productimages/singlepackshot/563869C00_RGB.png"/>
    <hyperlink ref="D2239" r:id="rId2238" display="https://us.pandora.net/on/demandware.static/-/Sites-pandora-master-catalog/default/dwbb259ca6/productimages/singlepackshot/563869C00_RGB.png"/>
    <hyperlink ref="D2240" r:id="rId2239" display="https://us.pandora.net/on/demandware.static/-/Sites-pandora-master-catalog/default/dwbb259ca6/productimages/singlepackshot/563869C00_RGB.png"/>
    <hyperlink ref="D2241" r:id="rId2240" display="https://us.pandora.net/on/demandware.static/-/Sites-pandora-master-catalog/default/dwbb259ca6/productimages/singlepackshot/564010C01_RGB.png"/>
    <hyperlink ref="D2242" r:id="rId2241" display="https://us.pandora.net/on/demandware.static/-/Sites-pandora-master-catalog/default/dwbb259ca6/productimages/singlepackshot/564010C01_RGB.png"/>
    <hyperlink ref="D2243" r:id="rId2242" display="https://us.pandora.net/on/demandware.static/-/Sites-pandora-master-catalog/default/dwbb259ca6/productimages/singlepackshot/564010C01_RGB.png"/>
    <hyperlink ref="D2244" r:id="rId2243" display="https://us.pandora.net/on/demandware.static/-/Sites-pandora-master-catalog/default/dwbb259ca6/productimages/singlepackshot/564019C01_RGB.png"/>
    <hyperlink ref="D2245" r:id="rId2244" display="https://us.pandora.net/on/demandware.static/-/Sites-pandora-master-catalog/default/dwbb259ca6/productimages/singlepackshot/564019C01_RGB.png"/>
    <hyperlink ref="D2246" r:id="rId2245" display="https://us.pandora.net/on/demandware.static/-/Sites-pandora-master-catalog/default/dwbb259ca6/productimages/singlepackshot/564019C01_RGB.png"/>
    <hyperlink ref="D2247" r:id="rId2246" display="https://us.pandora.net/on/demandware.static/-/Sites-pandora-master-catalog/default/dwbb259ca6/productimages/singlepackshot/564019C01_RGB.png"/>
    <hyperlink ref="D2248" r:id="rId2247" display="https://us.pandora.net/on/demandware.static/-/Sites-pandora-master-catalog/default/dwbb259ca6/productimages/singlepackshot/564019C01_RGB.png"/>
    <hyperlink ref="D2249" r:id="rId2248" display="https://us.pandora.net/on/demandware.static/-/Sites-pandora-master-catalog/default/dwbb259ca6/productimages/singlepackshot/564019C01_RGB.png"/>
    <hyperlink ref="D2250" r:id="rId2249" display="https://us.pandora.net/on/demandware.static/-/Sites-pandora-master-catalog/default/dwbb259ca6/productimages/singlepackshot/564019C01_RGB.png"/>
    <hyperlink ref="D2251" r:id="rId2250" display="https://us.pandora.net/on/demandware.static/-/Sites-pandora-master-catalog/default/dwbb259ca6/productimages/singlepackshot/564028C00_RGB.png"/>
    <hyperlink ref="D2252" r:id="rId2251" display="https://us.pandora.net/on/demandware.static/-/Sites-pandora-master-catalog/default/dwbb259ca6/productimages/singlepackshot/564028C00_RGB.png"/>
    <hyperlink ref="D2253" r:id="rId2252" display="https://us.pandora.net/on/demandware.static/-/Sites-pandora-master-catalog/default/dwbb259ca6/productimages/singlepackshot/564028C00_RGB.png"/>
    <hyperlink ref="D2254" r:id="rId2253" display="https://us.pandora.net/on/demandware.static/-/Sites-pandora-master-catalog/default/dwbb259ca6/productimages/singlepackshot/564028C00_RGB.png"/>
    <hyperlink ref="D2255" r:id="rId2254" display="https://us.pandora.net/on/demandware.static/-/Sites-pandora-master-catalog/default/dwbb259ca6/productimages/singlepackshot/564028C00_RGB.png"/>
    <hyperlink ref="D2256" r:id="rId2255" display="https://us.pandora.net/on/demandware.static/-/Sites-pandora-master-catalog/default/dwbb259ca6/productimages/singlepackshot/564028C00_RGB.png"/>
    <hyperlink ref="D2257" r:id="rId2256" display="https://us.pandora.net/on/demandware.static/-/Sites-pandora-master-catalog/default/dwbb259ca6/productimages/singlepackshot/564028C00_RGB.png"/>
    <hyperlink ref="D2258" r:id="rId2257" display="https://us.pandora.net/on/demandware.static/-/Sites-pandora-master-catalog/default/dwbb259ca6/productimages/singlepackshot/564226C01_RGB.png"/>
    <hyperlink ref="D2259" r:id="rId2258" display="https://us.pandora.net/on/demandware.static/-/Sites-pandora-master-catalog/default/dwbb259ca6/productimages/singlepackshot/564226C01_RGB.png"/>
    <hyperlink ref="D2260" r:id="rId2259" display="https://us.pandora.net/on/demandware.static/-/Sites-pandora-master-catalog/default/dwbb259ca6/productimages/singlepackshot/564226C01_RGB.png"/>
    <hyperlink ref="D2261" r:id="rId2260" display="https://us.pandora.net/on/demandware.static/-/Sites-pandora-master-catalog/default/dwbb259ca6/productimages/singlepackshot/564229C01_RGB.png"/>
    <hyperlink ref="D2262" r:id="rId2261" display="https://us.pandora.net/on/demandware.static/-/Sites-pandora-master-catalog/default/dwbb259ca6/productimages/singlepackshot/564229C01_RGB.png"/>
    <hyperlink ref="D2263" r:id="rId2262" display="https://us.pandora.net/on/demandware.static/-/Sites-pandora-master-catalog/default/dwbb259ca6/productimages/singlepackshot/564229C01_RGB.png"/>
    <hyperlink ref="D2264" r:id="rId2263" display="https://us.pandora.net/on/demandware.static/-/Sites-pandora-master-catalog/default/dwbb259ca6/productimages/singlepackshot/564236C00_RGB.png"/>
    <hyperlink ref="D2265" r:id="rId2264" display="https://us.pandora.net/on/demandware.static/-/Sites-pandora-master-catalog/default/dwbb259ca6/productimages/singlepackshot/564236C00_RGB.png"/>
    <hyperlink ref="D2266" r:id="rId2265" display="https://us.pandora.net/on/demandware.static/-/Sites-pandora-master-catalog/default/dwbb259ca6/productimages/singlepackshot/564236C00_RGB.png"/>
    <hyperlink ref="D2267" r:id="rId2266" display="https://us.pandora.net/on/demandware.static/-/Sites-pandora-master-catalog/default/dwbb259ca6/productimages/singlepackshot/564236C00_RGB.png"/>
    <hyperlink ref="D2268" r:id="rId2267" display="https://us.pandora.net/on/demandware.static/-/Sites-pandora-master-catalog/default/dwbb259ca6/productimages/singlepackshot/564236C00_RGB.png"/>
    <hyperlink ref="D2269" r:id="rId2268" display="https://us.pandora.net/on/demandware.static/-/Sites-pandora-master-catalog/default/dwbb259ca6/productimages/singlepackshot/564236C00_RGB.png"/>
    <hyperlink ref="D2270" r:id="rId2269" display="https://us.pandora.net/on/demandware.static/-/Sites-pandora-master-catalog/default/dwbb259ca6/productimages/singlepackshot/564236C00_RGB.png"/>
    <hyperlink ref="D2271" r:id="rId2270" display="https://us.pandora.net/on/demandware.static/-/Sites-pandora-master-catalog/default/dwbb259ca6/productimages/singlepackshot/568342C01_RGB.png"/>
    <hyperlink ref="D2272" r:id="rId2271" display="https://us.pandora.net/on/demandware.static/-/Sites-pandora-master-catalog/default/dwbb259ca6/productimages/singlepackshot/568342C01_RGB.png"/>
    <hyperlink ref="D2273" r:id="rId2272" display="https://us.pandora.net/on/demandware.static/-/Sites-pandora-master-catalog/default/dwbb259ca6/productimages/singlepackshot/568342C01_RGB.png"/>
    <hyperlink ref="D2274" r:id="rId2273" display="https://us.pandora.net/on/demandware.static/-/Sites-pandora-master-catalog/default/dwbb259ca6/productimages/singlepackshot/568707C00_RGB.png"/>
    <hyperlink ref="D2275" r:id="rId2274" display="https://us.pandora.net/on/demandware.static/-/Sites-pandora-master-catalog/default/dwbb259ca6/productimages/singlepackshot/568707C00_RGB.png"/>
    <hyperlink ref="D2276" r:id="rId2275" display="https://us.pandora.net/on/demandware.static/-/Sites-pandora-master-catalog/default/dwbb259ca6/productimages/singlepackshot/568707C00_RGB.png"/>
    <hyperlink ref="D2277" r:id="rId2276" display="https://us.pandora.net/on/demandware.static/-/Sites-pandora-master-catalog/default/dwbb259ca6/productimages/singlepackshot/568707C00_RGB.png"/>
    <hyperlink ref="D2278" r:id="rId2277" display="https://us.pandora.net/on/demandware.static/-/Sites-pandora-master-catalog/default/dwbb259ca6/productimages/singlepackshot/568707C00_RGB.png"/>
    <hyperlink ref="D2279" r:id="rId2278" display="https://us.pandora.net/on/demandware.static/-/Sites-pandora-master-catalog/default/dwbb259ca6/productimages/singlepackshot/568707C00_RGB.png"/>
    <hyperlink ref="D2280" r:id="rId2279" display="https://us.pandora.net/on/demandware.static/-/Sites-pandora-master-catalog/default/dwbb259ca6/productimages/singlepackshot/568748C00_RGB.png"/>
    <hyperlink ref="D2281" r:id="rId2280" display="https://us.pandora.net/on/demandware.static/-/Sites-pandora-master-catalog/default/dwbb259ca6/productimages/singlepackshot/568748C00_RGB.png"/>
    <hyperlink ref="D2282" r:id="rId2281" display="https://us.pandora.net/on/demandware.static/-/Sites-pandora-master-catalog/default/dwbb259ca6/productimages/singlepackshot/568748C00_RGB.png"/>
    <hyperlink ref="D2283" r:id="rId2282" display="https://us.pandora.net/on/demandware.static/-/Sites-pandora-master-catalog/default/dwbb259ca6/productimages/singlepackshot/568748C00_RGB.png"/>
    <hyperlink ref="D2284" r:id="rId2283" display="https://us.pandora.net/on/demandware.static/-/Sites-pandora-master-catalog/default/dwbb259ca6/productimages/singlepackshot/568748C00_RGB.png"/>
    <hyperlink ref="D2285" r:id="rId2284" display="https://us.pandora.net/on/demandware.static/-/Sites-pandora-master-catalog/default/dwbb259ca6/productimages/singlepackshot/568748C00_RGB.png"/>
    <hyperlink ref="D2286" r:id="rId2285" display="https://us.pandora.net/on/demandware.static/-/Sites-pandora-master-catalog/default/dwbb259ca6/productimages/singlepackshot/568748C00_RGB.png"/>
    <hyperlink ref="D2287" r:id="rId2286" display="https://us.pandora.net/on/demandware.static/-/Sites-pandora-master-catalog/default/dwbb259ca6/productimages/singlepackshot/568748C00_RGB.png"/>
    <hyperlink ref="D2288" r:id="rId2287" display="https://us.pandora.net/on/demandware.static/-/Sites-pandora-master-catalog/default/dwbb259ca6/productimages/singlepackshot/569046C01_RGB.png"/>
    <hyperlink ref="D2289" r:id="rId2288" display="https://us.pandora.net/on/demandware.static/-/Sites-pandora-master-catalog/default/dwbb259ca6/productimages/singlepackshot/569046C01_RGB.png"/>
    <hyperlink ref="D2290" r:id="rId2289" display="https://us.pandora.net/on/demandware.static/-/Sites-pandora-master-catalog/default/dwbb259ca6/productimages/singlepackshot/569046C01_RGB.png"/>
    <hyperlink ref="D2291" r:id="rId2290" display="https://us.pandora.net/on/demandware.static/-/Sites-pandora-master-catalog/default/dwbb259ca6/productimages/singlepackshot/569046C01_RGB.png"/>
    <hyperlink ref="D2292" r:id="rId2291" display="https://us.pandora.net/on/demandware.static/-/Sites-pandora-master-catalog/default/dwbb259ca6/productimages/singlepackshot/569046C01_RGB.png"/>
    <hyperlink ref="D2293" r:id="rId2292" display="https://us.pandora.net/on/demandware.static/-/Sites-pandora-master-catalog/default/dwbb259ca6/productimages/singlepackshot/569046C01_RGB.png"/>
    <hyperlink ref="D2294" r:id="rId2293" display="https://us.pandora.net/on/demandware.static/-/Sites-pandora-master-catalog/default/dwbb259ca6/productimages/singlepackshot/569046C01_RGB.png"/>
    <hyperlink ref="D2295" r:id="rId2294" display="https://us.pandora.net/on/demandware.static/-/Sites-pandora-master-catalog/default/dwbb259ca6/productimages/singlepackshot/569285C00_RGB.png"/>
    <hyperlink ref="D2296" r:id="rId2295" display="https://us.pandora.net/on/demandware.static/-/Sites-pandora-master-catalog/default/dwbb259ca6/productimages/singlepackshot/569285C00_RGB.png"/>
    <hyperlink ref="D2297" r:id="rId2296" display="https://us.pandora.net/on/demandware.static/-/Sites-pandora-master-catalog/default/dwbb259ca6/productimages/singlepackshot/569285C00_RGB.png"/>
    <hyperlink ref="D2298" r:id="rId2297" display="https://us.pandora.net/on/demandware.static/-/Sites-pandora-master-catalog/default/dwbb259ca6/productimages/singlepackshot/569285C00_RGB.png"/>
    <hyperlink ref="D2299" r:id="rId2298" display="https://us.pandora.net/on/demandware.static/-/Sites-pandora-master-catalog/default/dwbb259ca6/productimages/singlepackshot/569285C00_RGB.png"/>
    <hyperlink ref="D2300" r:id="rId2299" display="https://us.pandora.net/on/demandware.static/-/Sites-pandora-master-catalog/default/dwbb259ca6/productimages/singlepackshot/569285C00_RGB.png"/>
    <hyperlink ref="D2301" r:id="rId2300" display="https://us.pandora.net/on/demandware.static/-/Sites-pandora-master-catalog/default/dwbb259ca6/productimages/singlepackshot/569285C00_RGB.png"/>
    <hyperlink ref="D2302" r:id="rId2301" display="https://us.pandora.net/on/demandware.static/-/Sites-pandora-master-catalog/default/dwbb259ca6/productimages/singlepackshot/569416C01_RGB.png"/>
    <hyperlink ref="D2303" r:id="rId2302" display="https://us.pandora.net/on/demandware.static/-/Sites-pandora-master-catalog/default/dwbb259ca6/productimages/singlepackshot/569416C01_RGB.png"/>
    <hyperlink ref="D2304" r:id="rId2303" display="https://us.pandora.net/on/demandware.static/-/Sites-pandora-master-catalog/default/dwbb259ca6/productimages/singlepackshot/569416C01_RGB.png"/>
    <hyperlink ref="D2305" r:id="rId2304" display="https://us.pandora.net/on/demandware.static/-/Sites-pandora-master-catalog/default/dwbb259ca6/productimages/singlepackshot/569523C00_RGB.png"/>
    <hyperlink ref="D2306" r:id="rId2305" display="https://us.pandora.net/on/demandware.static/-/Sites-pandora-master-catalog/default/dwbb259ca6/productimages/singlepackshot/569523C00_RGB.png"/>
    <hyperlink ref="D2307" r:id="rId2306" display="https://us.pandora.net/on/demandware.static/-/Sites-pandora-master-catalog/default/dwbb259ca6/productimages/singlepackshot/569523C00_RGB.png"/>
    <hyperlink ref="D2308" r:id="rId2307" display="https://us.pandora.net/on/demandware.static/-/Sites-pandora-master-catalog/default/dwbb259ca6/productimages/singlepackshot/569539C00_RGB.png"/>
    <hyperlink ref="D2309" r:id="rId2308" display="https://us.pandora.net/on/demandware.static/-/Sites-pandora-master-catalog/default/dwbb259ca6/productimages/singlepackshot/569539C00_RGB.png"/>
    <hyperlink ref="D2310" r:id="rId2309" display="https://us.pandora.net/on/demandware.static/-/Sites-pandora-master-catalog/default/dwbb259ca6/productimages/singlepackshot/569539C00_RGB.png"/>
    <hyperlink ref="D2311" r:id="rId2310" display="https://us.pandora.net/on/demandware.static/-/Sites-pandora-master-catalog/default/dwbb259ca6/productimages/singlepackshot/569539C00_RGB.png"/>
    <hyperlink ref="D2312" r:id="rId2311" display="https://us.pandora.net/on/demandware.static/-/Sites-pandora-master-catalog/default/dwbb259ca6/productimages/singlepackshot/569539C00_RGB.png"/>
    <hyperlink ref="D2313" r:id="rId2312" display="https://us.pandora.net/on/demandware.static/-/Sites-pandora-master-catalog/default/dwbb259ca6/productimages/singlepackshot/569539C00_RGB.png"/>
    <hyperlink ref="D2314" r:id="rId2313" display="https://us.pandora.net/on/demandware.static/-/Sites-pandora-master-catalog/default/dwbb259ca6/productimages/singlepackshot/569539C00_RGB.png"/>
    <hyperlink ref="D2315" r:id="rId2314" display="https://us.pandora.net/on/demandware.static/-/Sites-pandora-master-catalog/default/dwbb259ca6/productimages/singlepackshot/569662C00_RGB.png"/>
    <hyperlink ref="D2316" r:id="rId2315" display="https://us.pandora.net/on/demandware.static/-/Sites-pandora-master-catalog/default/dwbb259ca6/productimages/singlepackshot/569662C00_RGB.png"/>
    <hyperlink ref="D2317" r:id="rId2316" display="https://us.pandora.net/on/demandware.static/-/Sites-pandora-master-catalog/default/dwbb259ca6/productimages/singlepackshot/569662C00_RGB.png"/>
    <hyperlink ref="D2318" r:id="rId2317" display="https://us.pandora.net/on/demandware.static/-/Sites-pandora-master-catalog/default/dwbb259ca6/productimages/singlepackshot/569662C00_RGB.png"/>
    <hyperlink ref="D2319" r:id="rId2318" display="https://us.pandora.net/on/demandware.static/-/Sites-pandora-master-catalog/default/dwbb259ca6/productimages/singlepackshot/569662C00_RGB.png"/>
    <hyperlink ref="D2320" r:id="rId2319" display="https://us.pandora.net/on/demandware.static/-/Sites-pandora-master-catalog/default/dwbb259ca6/productimages/singlepackshot/580041C01_RGB.png"/>
    <hyperlink ref="D2321" r:id="rId2320" display="https://us.pandora.net/on/demandware.static/-/Sites-pandora-master-catalog/default/dwbb259ca6/productimages/singlepackshot/580041C01_RGB.png"/>
    <hyperlink ref="D2322" r:id="rId2321" display="https://us.pandora.net/on/demandware.static/-/Sites-pandora-master-catalog/default/dwbb259ca6/productimages/singlepackshot/580041C01_RGB.png"/>
    <hyperlink ref="D2323" r:id="rId2322" display="https://us.pandora.net/on/demandware.static/-/Sites-pandora-master-catalog/default/dwbb259ca6/productimages/singlepackshot/580413_RGB.png"/>
    <hyperlink ref="D2324" r:id="rId2323" display="https://us.pandora.net/on/demandware.static/-/Sites-pandora-master-catalog/default/dwbb259ca6/productimages/singlepackshot/580719_RGB.png"/>
    <hyperlink ref="D2325" r:id="rId2324" display="https://us.pandora.net/on/demandware.static/-/Sites-pandora-master-catalog/default/dwbb259ca6/productimages/singlepackshot/580719_RGB.png"/>
    <hyperlink ref="D2326" r:id="rId2325" display="https://us.pandora.net/on/demandware.static/-/Sites-pandora-master-catalog/default/dwbb259ca6/productimages/singlepackshot/580719_RGB.png"/>
    <hyperlink ref="D2327" r:id="rId2326" display="https://us.pandora.net/on/demandware.static/-/Sites-pandora-master-catalog/default/dwbb259ca6/productimages/singlepackshot/580719_RGB.png"/>
    <hyperlink ref="D2328" r:id="rId2327" display="https://us.pandora.net/on/demandware.static/-/Sites-pandora-master-catalog/default/dwbb259ca6/productimages/singlepackshot/580719_RGB.png"/>
    <hyperlink ref="D2329" r:id="rId2328" display="https://us.pandora.net/on/demandware.static/-/Sites-pandora-master-catalog/default/dwbb259ca6/productimages/singlepackshot/580719_RGB.png"/>
    <hyperlink ref="D2330" r:id="rId2329" display="https://us.pandora.net/on/demandware.static/-/Sites-pandora-master-catalog/default/dwbb259ca6/productimages/singlepackshot/580719_RGB.png"/>
    <hyperlink ref="D2331" r:id="rId2330" display="https://us.pandora.net/on/demandware.static/-/Sites-pandora-master-catalog/default/dwbb259ca6/productimages/singlepackshot/580728_RGB.png"/>
    <hyperlink ref="D2332" r:id="rId2331" display="https://us.pandora.net/on/demandware.static/-/Sites-pandora-master-catalog/default/dwbb259ca6/productimages/singlepackshot/580728_RGB.png"/>
    <hyperlink ref="D2333" r:id="rId2332" display="https://us.pandora.net/on/demandware.static/-/Sites-pandora-master-catalog/default/dwbb259ca6/productimages/singlepackshot/580728_RGB.png"/>
    <hyperlink ref="D2334" r:id="rId2333" display="https://us.pandora.net/on/demandware.static/-/Sites-pandora-master-catalog/default/dwbb259ca6/productimages/singlepackshot/580728_RGB.png"/>
    <hyperlink ref="D2335" r:id="rId2334" display="https://us.pandora.net/on/demandware.static/-/Sites-pandora-master-catalog/default/dwbb259ca6/productimages/singlepackshot/580728_RGB.png"/>
    <hyperlink ref="D2336" r:id="rId2335" display="https://us.pandora.net/on/demandware.static/-/Sites-pandora-master-catalog/default/dwbb259ca6/productimages/singlepackshot/580728_RGB.png"/>
    <hyperlink ref="D2337" r:id="rId2336" display="https://us.pandora.net/on/demandware.static/-/Sites-pandora-master-catalog/default/dwbb259ca6/productimages/singlepackshot/580728_RGB.png"/>
    <hyperlink ref="D2338" r:id="rId2337" display="https://us.pandora.net/on/demandware.static/-/Sites-pandora-master-catalog/default/dwbb259ca6/productimages/singlepackshot/581469C01_RGB.png"/>
    <hyperlink ref="D2339" r:id="rId2338" display="https://us.pandora.net/on/demandware.static/-/Sites-pandora-master-catalog/default/dwbb259ca6/productimages/singlepackshot/581469C01_RGB.png"/>
    <hyperlink ref="D2340" r:id="rId2339" display="https://us.pandora.net/on/demandware.static/-/Sites-pandora-master-catalog/default/dwbb259ca6/productimages/singlepackshot/581469C01_RGB.png"/>
    <hyperlink ref="D2341" r:id="rId2340" display="https://us.pandora.net/on/demandware.static/-/Sites-pandora-master-catalog/default/dwbb259ca6/productimages/singlepackshot/581469C02_RGB.png"/>
    <hyperlink ref="D2342" r:id="rId2341" display="https://us.pandora.net/on/demandware.static/-/Sites-pandora-master-catalog/default/dwbb259ca6/productimages/singlepackshot/581469C02_RGB.png"/>
    <hyperlink ref="D2343" r:id="rId2342" display="https://us.pandora.net/on/demandware.static/-/Sites-pandora-master-catalog/default/dwbb259ca6/productimages/singlepackshot/581469C02_RGB.png"/>
    <hyperlink ref="D2344" r:id="rId2343" display="https://us.pandora.net/on/demandware.static/-/Sites-pandora-master-catalog/default/dwbb259ca6/productimages/singlepackshot/582257C00_RGB.png"/>
    <hyperlink ref="D2345" r:id="rId2344" display="https://us.pandora.net/on/demandware.static/-/Sites-pandora-master-catalog/default/dwbb259ca6/productimages/singlepackshot/582257C00_RGB.png"/>
    <hyperlink ref="D2346" r:id="rId2345" display="https://us.pandora.net/on/demandware.static/-/Sites-pandora-master-catalog/default/dwbb259ca6/productimages/singlepackshot/582257C00_RGB.png"/>
    <hyperlink ref="D2347" r:id="rId2346" display="https://us.pandora.net/on/demandware.static/-/Sites-pandora-master-catalog/default/dwbb259ca6/productimages/singlepackshot/582257C00_RGB.png"/>
    <hyperlink ref="D2348" r:id="rId2347" display="https://us.pandora.net/on/demandware.static/-/Sites-pandora-master-catalog/default/dwbb259ca6/productimages/singlepackshot/582257C00_RGB.png"/>
    <hyperlink ref="D2349" r:id="rId2348" display="https://us.pandora.net/on/demandware.static/-/Sites-pandora-master-catalog/default/dwbb259ca6/productimages/singlepackshot/582257C00_RGB.png"/>
    <hyperlink ref="D2350" r:id="rId2349" display="https://us.pandora.net/on/demandware.static/-/Sites-pandora-master-catalog/default/dwbb259ca6/productimages/singlepackshot/582257C00_RGB.png"/>
    <hyperlink ref="D2351" r:id="rId2350" display="https://us.pandora.net/on/demandware.static/-/Sites-pandora-master-catalog/default/dwbb259ca6/productimages/singlepackshot/582731C00_RGB.png"/>
    <hyperlink ref="D2352" r:id="rId2351" display="https://us.pandora.net/on/demandware.static/-/Sites-pandora-master-catalog/default/dwbb259ca6/productimages/singlepackshot/582731C00_RGB.png"/>
    <hyperlink ref="D2353" r:id="rId2352" display="https://us.pandora.net/on/demandware.static/-/Sites-pandora-master-catalog/default/dwbb259ca6/productimages/singlepackshot/582731C00_RGB.png"/>
    <hyperlink ref="D2354" r:id="rId2353" display="https://us.pandora.net/on/demandware.static/-/Sites-pandora-master-catalog/default/dwbb259ca6/productimages/singlepackshot/582731C00_RGB.png"/>
    <hyperlink ref="D2355" r:id="rId2354" display="https://us.pandora.net/on/demandware.static/-/Sites-pandora-master-catalog/default/dwbb259ca6/productimages/singlepackshot/582731C00_RGB.png"/>
    <hyperlink ref="D2356" r:id="rId2355" display="https://us.pandora.net/on/demandware.static/-/Sites-pandora-master-catalog/default/dwbb259ca6/productimages/singlepackshot/582731C00_RGB.png"/>
    <hyperlink ref="D2357" r:id="rId2356" display="https://us.pandora.net/on/demandware.static/-/Sites-pandora-master-catalog/default/dwbb259ca6/productimages/singlepackshot/583090C00_RGB.png"/>
    <hyperlink ref="D2358" r:id="rId2357" display="https://us.pandora.net/on/demandware.static/-/Sites-pandora-master-catalog/default/dwbb259ca6/productimages/singlepackshot/586292CZ_RGB.png"/>
    <hyperlink ref="D2359" r:id="rId2358" display="https://us.pandora.net/on/demandware.static/-/Sites-pandora-master-catalog/default/dwbb259ca6/productimages/singlepackshot/586292CZ_RGB.png"/>
    <hyperlink ref="D2360" r:id="rId2359" display="https://us.pandora.net/on/demandware.static/-/Sites-pandora-master-catalog/default/dwbb259ca6/productimages/singlepackshot/586292CZ_RGB.png"/>
    <hyperlink ref="D2361" r:id="rId2360" display="https://us.pandora.net/on/demandware.static/-/Sites-pandora-master-catalog/default/dwbb259ca6/productimages/singlepackshot/586292CZ_RGB.png"/>
    <hyperlink ref="D2362" r:id="rId2361" display="https://us.pandora.net/on/demandware.static/-/Sites-pandora-master-catalog/default/dwbb259ca6/productimages/singlepackshot/586292CZ_RGB.png"/>
    <hyperlink ref="D2363" r:id="rId2362" display="https://us.pandora.net/on/demandware.static/-/Sites-pandora-master-catalog/default/dwbb259ca6/productimages/singlepackshot/586292CZ_RGB.png"/>
    <hyperlink ref="D2364" r:id="rId2363" display="https://us.pandora.net/on/demandware.static/-/Sites-pandora-master-catalog/default/dwbb259ca6/productimages/singlepackshot/586292CZ_RGB.png"/>
    <hyperlink ref="D2365" r:id="rId2364" display="https://us.pandora.net/on/demandware.static/-/Sites-pandora-master-catalog/default/dwbb259ca6/productimages/singlepackshot/587132_RGB.png"/>
    <hyperlink ref="D2366" r:id="rId2365" display="https://us.pandora.net/on/demandware.static/-/Sites-pandora-master-catalog/default/dwbb259ca6/productimages/singlepackshot/587132_RGB.png"/>
    <hyperlink ref="D2367" r:id="rId2366" display="https://us.pandora.net/on/demandware.static/-/Sites-pandora-master-catalog/default/dwbb259ca6/productimages/singlepackshot/587132_RGB.png"/>
    <hyperlink ref="D2368" r:id="rId2367" display="https://us.pandora.net/on/demandware.static/-/Sites-pandora-master-catalog/default/dwbb259ca6/productimages/singlepackshot/588342CZ_RGB.png"/>
    <hyperlink ref="D2369" r:id="rId2368" display="https://us.pandora.net/on/demandware.static/-/Sites-pandora-master-catalog/default/dwbb259ca6/productimages/singlepackshot/588342CZ_RGB.png"/>
    <hyperlink ref="D2370" r:id="rId2369" display="https://us.pandora.net/on/demandware.static/-/Sites-pandora-master-catalog/default/dwbb259ca6/productimages/singlepackshot/588342CZ_RGB.png"/>
    <hyperlink ref="D2371" r:id="rId2370" display="https://us.pandora.net/on/demandware.static/-/Sites-pandora-master-catalog/default/dwbb259ca6/productimages/singlepackshot/589046C01_RGB.png"/>
    <hyperlink ref="D2372" r:id="rId2371" display="https://us.pandora.net/on/demandware.static/-/Sites-pandora-master-catalog/default/dwbb259ca6/productimages/singlepackshot/589046C01_RGB.png"/>
    <hyperlink ref="D2373" r:id="rId2372" display="https://us.pandora.net/on/demandware.static/-/Sites-pandora-master-catalog/default/dwbb259ca6/productimages/singlepackshot/589046C01_RGB.png"/>
    <hyperlink ref="D2374" r:id="rId2373" display="https://us.pandora.net/on/demandware.static/-/Sites-pandora-master-catalog/default/dwbb259ca6/productimages/singlepackshot/589046C01_RGB.png"/>
    <hyperlink ref="D2375" r:id="rId2374" display="https://us.pandora.net/on/demandware.static/-/Sites-pandora-master-catalog/default/dwbb259ca6/productimages/singlepackshot/589046C01_RGB.png"/>
    <hyperlink ref="D2376" r:id="rId2375" display="https://us.pandora.net/on/demandware.static/-/Sites-pandora-master-catalog/default/dwbb259ca6/productimages/singlepackshot/589046C01_RGB.png"/>
    <hyperlink ref="D2377" r:id="rId2376" display="https://us.pandora.net/on/demandware.static/-/Sites-pandora-master-catalog/default/dwbb259ca6/productimages/singlepackshot/589046C01_RGB.png"/>
    <hyperlink ref="D2378" r:id="rId2377" display="https://us.pandora.net/on/demandware.static/-/Sites-pandora-master-catalog/default/dwbb259ca6/productimages/singlepackshot/589217C01_RGB.png"/>
    <hyperlink ref="D2379" r:id="rId2378" display="https://us.pandora.net/on/demandware.static/-/Sites-pandora-master-catalog/default/dwbb259ca6/productimages/singlepackshot/589217C01_RGB.png"/>
    <hyperlink ref="D2380" r:id="rId2379" display="https://us.pandora.net/on/demandware.static/-/Sites-pandora-master-catalog/default/dwbb259ca6/productimages/singlepackshot/589217C01_RGB.png"/>
    <hyperlink ref="D2381" r:id="rId2380" display="https://us.pandora.net/on/demandware.static/-/Sites-pandora-master-catalog/default/dwbb259ca6/productimages/singlepackshot/589285C00_RGB.png"/>
    <hyperlink ref="D2382" r:id="rId2381" display="https://us.pandora.net/on/demandware.static/-/Sites-pandora-master-catalog/default/dwbb259ca6/productimages/singlepackshot/589285C00_RGB.png"/>
    <hyperlink ref="D2383" r:id="rId2382" display="https://us.pandora.net/on/demandware.static/-/Sites-pandora-master-catalog/default/dwbb259ca6/productimages/singlepackshot/589285C00_RGB.png"/>
    <hyperlink ref="D2384" r:id="rId2383" display="https://us.pandora.net/on/demandware.static/-/Sites-pandora-master-catalog/default/dwbb259ca6/productimages/singlepackshot/589285C00_RGB.png"/>
    <hyperlink ref="D2385" r:id="rId2384" display="https://us.pandora.net/on/demandware.static/-/Sites-pandora-master-catalog/default/dwbb259ca6/productimages/singlepackshot/589285C00_RGB.png"/>
    <hyperlink ref="D2386" r:id="rId2385" display="https://us.pandora.net/on/demandware.static/-/Sites-pandora-master-catalog/default/dwbb259ca6/productimages/singlepackshot/589285C00_RGB.png"/>
    <hyperlink ref="D2387" r:id="rId2386" display="https://us.pandora.net/on/demandware.static/-/Sites-pandora-master-catalog/default/dwbb259ca6/productimages/singlepackshot/589285C00_RGB.png"/>
    <hyperlink ref="D2388" r:id="rId2387" display="https://us.pandora.net/on/demandware.static/-/Sites-pandora-master-catalog/default/dwbb259ca6/productimages/singlepackshot/589652C01_RGB.png"/>
    <hyperlink ref="D2389" r:id="rId2388" display="https://us.pandora.net/on/demandware.static/-/Sites-pandora-master-catalog/default/dwbb259ca6/productimages/singlepackshot/589662C00_RGB.png"/>
    <hyperlink ref="D2390" r:id="rId2389" display="https://us.pandora.net/on/demandware.static/-/Sites-pandora-master-catalog/default/dwbb259ca6/productimages/singlepackshot/589662C00_RGB.png"/>
    <hyperlink ref="D2391" r:id="rId2390" display="https://us.pandora.net/on/demandware.static/-/Sites-pandora-master-catalog/default/dwbb259ca6/productimages/singlepackshot/589662C00_RGB.png"/>
    <hyperlink ref="D2392" r:id="rId2391" display="https://us.pandora.net/on/demandware.static/-/Sites-pandora-master-catalog/default/dwbb259ca6/productimages/singlepackshot/589662C00_RGB.png"/>
    <hyperlink ref="D2393" r:id="rId2392" display="https://us.pandora.net/on/demandware.static/-/Sites-pandora-master-catalog/default/dwbb259ca6/productimages/singlepackshot/589662C00_RGB.png"/>
    <hyperlink ref="D2394" r:id="rId2393" display="https://us.pandora.net/on/demandware.static/-/Sites-pandora-master-catalog/default/dwbb259ca6/productimages/singlepackshot/590038C01_RGB.png"/>
    <hyperlink ref="D2395" r:id="rId2394" display="https://us.pandora.net/on/demandware.static/-/Sites-pandora-master-catalog/default/dwbb259ca6/productimages/singlepackshot/590038C01_RGB.png"/>
    <hyperlink ref="D2396" r:id="rId2395" display="https://us.pandora.net/on/demandware.static/-/Sites-pandora-master-catalog/default/dwbb259ca6/productimages/singlepackshot/590038C01_RGB.png"/>
    <hyperlink ref="D2397" r:id="rId2396" display="https://us.pandora.net/on/demandware.static/-/Sites-pandora-master-catalog/default/dwbb259ca6/productimages/singlepackshot/590038C01_RGB.png"/>
    <hyperlink ref="D2398" r:id="rId2397" display="https://us.pandora.net/on/demandware.static/-/Sites-pandora-master-catalog/default/dwbb259ca6/productimages/singlepackshot/590038C01_RGB.png"/>
    <hyperlink ref="D2399" r:id="rId2398" display="https://us.pandora.net/on/demandware.static/-/Sites-pandora-master-catalog/default/dwbb259ca6/productimages/singlepackshot/590038C01_RGB.png"/>
    <hyperlink ref="D2400" r:id="rId2399" display="https://us.pandora.net/on/demandware.static/-/Sites-pandora-master-catalog/default/dwbb259ca6/productimages/singlepackshot/590038C01_RGB.png"/>
    <hyperlink ref="D2401" r:id="rId2400" display="https://us.pandora.net/on/demandware.static/-/Sites-pandora-master-catalog/default/dwbb259ca6/productimages/singlepackshot/590039C01_RGB.png"/>
    <hyperlink ref="D2402" r:id="rId2401" display="https://us.pandora.net/on/demandware.static/-/Sites-pandora-master-catalog/default/dwbb259ca6/productimages/singlepackshot/590039C01_RGB.png"/>
    <hyperlink ref="D2403" r:id="rId2402" display="https://us.pandora.net/on/demandware.static/-/Sites-pandora-master-catalog/default/dwbb259ca6/productimages/singlepackshot/590039C01_RGB.png"/>
    <hyperlink ref="D2404" r:id="rId2403" display="https://us.pandora.net/on/demandware.static/-/Sites-pandora-master-catalog/default/dwbb259ca6/productimages/singlepackshot/590041C01_RGB.png"/>
    <hyperlink ref="D2405" r:id="rId2404" display="https://us.pandora.net/on/demandware.static/-/Sites-pandora-master-catalog/default/dwbb259ca6/productimages/singlepackshot/590041C01_RGB.png"/>
    <hyperlink ref="D2406" r:id="rId2405" display="https://us.pandora.net/on/demandware.static/-/Sites-pandora-master-catalog/default/dwbb259ca6/productimages/singlepackshot/590041C01_RGB.png"/>
    <hyperlink ref="D2407" r:id="rId2406" display="https://us.pandora.net/on/demandware.static/-/Sites-pandora-master-catalog/default/dwbb259ca6/productimages/singlepackshot/590041C02_RGB.png"/>
    <hyperlink ref="D2408" r:id="rId2407" display="https://us.pandora.net/on/demandware.static/-/Sites-pandora-master-catalog/default/dwbb259ca6/productimages/singlepackshot/590041C02_RGB.png"/>
    <hyperlink ref="D2409" r:id="rId2408" display="https://us.pandora.net/on/demandware.static/-/Sites-pandora-master-catalog/default/dwbb259ca6/productimages/singlepackshot/590041C02_RGB.png"/>
    <hyperlink ref="D2410" r:id="rId2409" display="https://us.pandora.net/on/demandware.static/-/Sites-pandora-master-catalog/default/dwbb259ca6/productimages/singlepackshot/590041C03_RGB.png"/>
    <hyperlink ref="D2411" r:id="rId2410" display="https://us.pandora.net/on/demandware.static/-/Sites-pandora-master-catalog/default/dwbb259ca6/productimages/singlepackshot/590041C03_RGB.png"/>
    <hyperlink ref="D2412" r:id="rId2411" display="https://us.pandora.net/on/demandware.static/-/Sites-pandora-master-catalog/default/dwbb259ca6/productimages/singlepackshot/590041C03_RGB.png"/>
    <hyperlink ref="D2413" r:id="rId2412" display="https://us.pandora.net/on/demandware.static/-/Sites-pandora-master-catalog/default/dwbb259ca6/productimages/singlepackshot/590122C00_RGB.png"/>
    <hyperlink ref="D2414" r:id="rId2413" display="https://us.pandora.net/on/demandware.static/-/Sites-pandora-master-catalog/default/dwbb259ca6/productimages/singlepackshot/590122C00_RGB.png"/>
    <hyperlink ref="D2415" r:id="rId2414" display="https://us.pandora.net/on/demandware.static/-/Sites-pandora-master-catalog/default/dwbb259ca6/productimages/singlepackshot/590122C00_RGB.png"/>
    <hyperlink ref="D2416" r:id="rId2415" display="https://us.pandora.net/on/demandware.static/-/Sites-pandora-master-catalog/default/dwbb259ca6/productimages/singlepackshot/590122C00_RGB.png"/>
    <hyperlink ref="D2417" r:id="rId2416" display="https://us.pandora.net/on/demandware.static/-/Sites-pandora-master-catalog/default/dwbb259ca6/productimages/singlepackshot/590122C00_RGB.png"/>
    <hyperlink ref="D2418" r:id="rId2417" display="https://us.pandora.net/on/demandware.static/-/Sites-pandora-master-catalog/default/dwbb259ca6/productimages/singlepackshot/590122C00_RGB.png"/>
    <hyperlink ref="D2419" r:id="rId2418" display="https://us.pandora.net/on/demandware.static/-/Sites-pandora-master-catalog/default/dwbb259ca6/productimages/singlepackshot/590122C00_RGB.png"/>
    <hyperlink ref="D2420" r:id="rId2419" display="https://us.pandora.net/on/demandware.static/-/Sites-pandora-master-catalog/default/dwbb259ca6/productimages/singlepackshot/590200_RGB.png"/>
    <hyperlink ref="D2421" r:id="rId2420" display="https://us.pandora.net/on/demandware.static/-/Sites-pandora-master-catalog/default/dwbb259ca6/productimages/singlepackshot/590200_RGB.png"/>
    <hyperlink ref="D2422" r:id="rId2421" display="https://us.pandora.net/on/demandware.static/-/Sites-pandora-master-catalog/default/dwbb259ca6/productimages/singlepackshot/590200_RGB.png"/>
    <hyperlink ref="D2423" r:id="rId2422" display="https://us.pandora.net/on/demandware.static/-/Sites-pandora-master-catalog/default/dwbb259ca6/productimages/singlepackshot/590412_RGB.png"/>
    <hyperlink ref="D2424" r:id="rId2423" display="https://us.pandora.net/on/demandware.static/-/Sites-pandora-master-catalog/default/dwbb259ca6/productimages/singlepackshot/590412_RGB.png"/>
    <hyperlink ref="D2425" r:id="rId2424" display="https://us.pandora.net/on/demandware.static/-/Sites-pandora-master-catalog/default/dwbb259ca6/productimages/singlepackshot/590514CZ_RGB.png"/>
    <hyperlink ref="D2426" r:id="rId2425" display="https://us.pandora.net/on/demandware.static/-/Sites-pandora-master-catalog/default/dwbb259ca6/productimages/singlepackshot/590515_RGB.png"/>
    <hyperlink ref="D2427" r:id="rId2426" display="https://us.pandora.net/on/demandware.static/-/Sites-pandora-master-catalog/default/dwbb259ca6/productimages/singlepackshot/590702HV_RGB.png"/>
    <hyperlink ref="D2428" r:id="rId2427" display="https://us.pandora.net/on/demandware.static/-/Sites-pandora-master-catalog/default/dwbb259ca6/productimages/singlepackshot/590702HV_RGB.png"/>
    <hyperlink ref="D2429" r:id="rId2428" display="https://us.pandora.net/on/demandware.static/-/Sites-pandora-master-catalog/default/dwbb259ca6/productimages/singlepackshot/590702HV_RGB.png"/>
    <hyperlink ref="D2430" r:id="rId2429" display="https://us.pandora.net/on/demandware.static/-/Sites-pandora-master-catalog/default/dwbb259ca6/productimages/singlepackshot/590702HV_RGB.png"/>
    <hyperlink ref="D2431" r:id="rId2430" display="https://us.pandora.net/on/demandware.static/-/Sites-pandora-master-catalog/default/dwbb259ca6/productimages/singlepackshot/590702HV_RGB.png"/>
    <hyperlink ref="D2432" r:id="rId2431" display="https://us.pandora.net/on/demandware.static/-/Sites-pandora-master-catalog/default/dwbb259ca6/productimages/singlepackshot/590702HV_RGB.png"/>
    <hyperlink ref="D2433" r:id="rId2432" display="https://us.pandora.net/on/demandware.static/-/Sites-pandora-master-catalog/default/dwbb259ca6/productimages/singlepackshot/590702HV_RGB.png"/>
    <hyperlink ref="D2434" r:id="rId2433" display="https://us.pandora.net/on/demandware.static/-/Sites-pandora-master-catalog/default/dwbb259ca6/productimages/singlepackshot/590702HV_RGB.png"/>
    <hyperlink ref="D2435" r:id="rId2434" display="https://us.pandora.net/on/demandware.static/-/Sites-pandora-master-catalog/default/dwbb259ca6/productimages/singlepackshot/590713_RGB.png"/>
    <hyperlink ref="D2436" r:id="rId2435" display="https://us.pandora.net/on/demandware.static/-/Sites-pandora-master-catalog/default/dwbb259ca6/productimages/singlepackshot/590713_RGB.png"/>
    <hyperlink ref="D2437" r:id="rId2436" display="https://us.pandora.net/on/demandware.static/-/Sites-pandora-master-catalog/default/dwbb259ca6/productimages/singlepackshot/590713_RGB.png"/>
    <hyperlink ref="D2438" r:id="rId2437" display="https://us.pandora.net/on/demandware.static/-/Sites-pandora-master-catalog/default/dwbb259ca6/productimages/singlepackshot/590713_RGB.png"/>
    <hyperlink ref="D2439" r:id="rId2438" display="https://us.pandora.net/on/demandware.static/-/Sites-pandora-master-catalog/default/dwbb259ca6/productimages/singlepackshot/590719_RGB.png"/>
    <hyperlink ref="D2440" r:id="rId2439" display="https://us.pandora.net/on/demandware.static/-/Sites-pandora-master-catalog/default/dwbb259ca6/productimages/singlepackshot/590719_RGB.png"/>
    <hyperlink ref="D2441" r:id="rId2440" display="https://us.pandora.net/on/demandware.static/-/Sites-pandora-master-catalog/default/dwbb259ca6/productimages/singlepackshot/590719_RGB.png"/>
    <hyperlink ref="D2442" r:id="rId2441" display="https://us.pandora.net/on/demandware.static/-/Sites-pandora-master-catalog/default/dwbb259ca6/productimages/singlepackshot/590719_RGB.png"/>
    <hyperlink ref="D2443" r:id="rId2442" display="https://us.pandora.net/on/demandware.static/-/Sites-pandora-master-catalog/default/dwbb259ca6/productimages/singlepackshot/590719_RGB.png"/>
    <hyperlink ref="D2444" r:id="rId2443" display="https://us.pandora.net/on/demandware.static/-/Sites-pandora-master-catalog/default/dwbb259ca6/productimages/singlepackshot/590719_RGB.png"/>
    <hyperlink ref="D2445" r:id="rId2444" display="https://us.pandora.net/on/demandware.static/-/Sites-pandora-master-catalog/default/dwbb259ca6/productimages/singlepackshot/590719_RGB.png"/>
    <hyperlink ref="D2446" r:id="rId2445" display="https://us.pandora.net/on/demandware.static/-/Sites-pandora-master-catalog/default/dwbb259ca6/productimages/singlepackshot/590727CZ_RGB.png"/>
    <hyperlink ref="D2447" r:id="rId2446" display="https://us.pandora.net/on/demandware.static/-/Sites-pandora-master-catalog/default/dwbb259ca6/productimages/singlepackshot/590727CZ_RGB.png"/>
    <hyperlink ref="D2448" r:id="rId2447" display="https://us.pandora.net/on/demandware.static/-/Sites-pandora-master-catalog/default/dwbb259ca6/productimages/singlepackshot/590727CZ_RGB.png"/>
    <hyperlink ref="D2449" r:id="rId2448" display="https://us.pandora.net/on/demandware.static/-/Sites-pandora-master-catalog/default/dwbb259ca6/productimages/singlepackshot/590727CZ_RGB.png"/>
    <hyperlink ref="D2450" r:id="rId2449" display="https://us.pandora.net/on/demandware.static/-/Sites-pandora-master-catalog/default/dwbb259ca6/productimages/singlepackshot/590727CZ_RGB.png"/>
    <hyperlink ref="D2451" r:id="rId2450" display="https://us.pandora.net/on/demandware.static/-/Sites-pandora-master-catalog/default/dwbb259ca6/productimages/singlepackshot/590727CZ_RGB.png"/>
    <hyperlink ref="D2452" r:id="rId2451" display="https://us.pandora.net/on/demandware.static/-/Sites-pandora-master-catalog/default/dwbb259ca6/productimages/singlepackshot/590727CZ_RGB.png"/>
    <hyperlink ref="D2453" r:id="rId2452" display="https://us.pandora.net/on/demandware.static/-/Sites-pandora-master-catalog/default/dwbb259ca6/productimages/singlepackshot/590728_RGB.png"/>
    <hyperlink ref="D2454" r:id="rId2453" display="https://us.pandora.net/on/demandware.static/-/Sites-pandora-master-catalog/default/dwbb259ca6/productimages/singlepackshot/590728_RGB.png"/>
    <hyperlink ref="D2455" r:id="rId2454" display="https://us.pandora.net/on/demandware.static/-/Sites-pandora-master-catalog/default/dwbb259ca6/productimages/singlepackshot/590728_RGB.png"/>
    <hyperlink ref="D2456" r:id="rId2455" display="https://us.pandora.net/on/demandware.static/-/Sites-pandora-master-catalog/default/dwbb259ca6/productimages/singlepackshot/590728_RGB.png"/>
    <hyperlink ref="D2457" r:id="rId2456" display="https://us.pandora.net/on/demandware.static/-/Sites-pandora-master-catalog/default/dwbb259ca6/productimages/singlepackshot/590728_RGB.png"/>
    <hyperlink ref="D2458" r:id="rId2457" display="https://us.pandora.net/on/demandware.static/-/Sites-pandora-master-catalog/default/dwbb259ca6/productimages/singlepackshot/590728_RGB.png"/>
    <hyperlink ref="D2459" r:id="rId2458" display="https://us.pandora.net/on/demandware.static/-/Sites-pandora-master-catalog/default/dwbb259ca6/productimages/singlepackshot/590728_RGB.png"/>
    <hyperlink ref="D2460" r:id="rId2459" display="https://us.pandora.net/on/demandware.static/-/Sites-pandora-master-catalog/default/dwbb259ca6/productimages/singlepackshot/590742HV_RGB.png"/>
    <hyperlink ref="D2461" r:id="rId2460" display="https://us.pandora.net/on/demandware.static/-/Sites-pandora-master-catalog/default/dwbb259ca6/productimages/singlepackshot/590742HV_RGB.png"/>
    <hyperlink ref="D2462" r:id="rId2461" display="https://us.pandora.net/on/demandware.static/-/Sites-pandora-master-catalog/default/dwbb259ca6/productimages/singlepackshot/590742HV_RGB.png"/>
    <hyperlink ref="D2463" r:id="rId2462" display="https://us.pandora.net/on/demandware.static/-/Sites-pandora-master-catalog/default/dwbb259ca6/productimages/singlepackshot/590742HV_RGB.png"/>
    <hyperlink ref="D2464" r:id="rId2463" display="https://us.pandora.net/on/demandware.static/-/Sites-pandora-master-catalog/default/dwbb259ca6/productimages/singlepackshot/590745CBK_RGB.png"/>
    <hyperlink ref="D2465" r:id="rId2464" display="https://us.pandora.net/on/demandware.static/-/Sites-pandora-master-catalog/default/dwbb259ca6/productimages/singlepackshot/590745CBK_RGB.png"/>
    <hyperlink ref="D2466" r:id="rId2465" display="https://us.pandora.net/on/demandware.static/-/Sites-pandora-master-catalog/default/dwbb259ca6/productimages/singlepackshot/590745CBK_RGB.png"/>
    <hyperlink ref="D2467" r:id="rId2466" display="https://us.pandora.net/on/demandware.static/-/Sites-pandora-master-catalog/default/dwbb259ca6/productimages/singlepackshot/590745CBK_RGB.png"/>
    <hyperlink ref="D2468" r:id="rId2467" display="https://us.pandora.net/on/demandware.static/-/Sites-pandora-master-catalog/default/dwbb259ca6/productimages/singlepackshot/590745CBK_RGB.png"/>
    <hyperlink ref="D2469" r:id="rId2468" display="https://us.pandora.net/on/demandware.static/-/Sites-pandora-master-catalog/default/dwbb259ca6/productimages/singlepackshot/590782C01_RGB.png"/>
    <hyperlink ref="D2470" r:id="rId2469" display="https://us.pandora.net/on/demandware.static/-/Sites-pandora-master-catalog/default/dwbb259ca6/productimages/singlepackshot/590782C01_RGB.png"/>
    <hyperlink ref="D2471" r:id="rId2470" display="https://us.pandora.net/on/demandware.static/-/Sites-pandora-master-catalog/default/dwbb259ca6/productimages/singlepackshot/590782C01_RGB.png"/>
    <hyperlink ref="D2472" r:id="rId2471" display="https://us.pandora.net/on/demandware.static/-/Sites-pandora-master-catalog/default/dwbb259ca6/productimages/singlepackshot/590782C01_RGB.png"/>
    <hyperlink ref="D2473" r:id="rId2472" display="https://us.pandora.net/on/demandware.static/-/Sites-pandora-master-catalog/default/dwbb259ca6/productimages/singlepackshot/590782C01_RGB.png"/>
    <hyperlink ref="D2474" r:id="rId2473" display="https://us.pandora.net/on/demandware.static/-/Sites-pandora-master-catalog/default/dwbb259ca6/productimages/singlepackshot/590782C01_RGB.png"/>
    <hyperlink ref="D2475" r:id="rId2474" display="https://us.pandora.net/on/demandware.static/-/Sites-pandora-master-catalog/default/dwbb259ca6/productimages/singlepackshot/590782C01_RGB.png"/>
    <hyperlink ref="D2476" r:id="rId2475" display="https://us.pandora.net/on/demandware.static/-/Sites-pandora-master-catalog/default/dwbb259ca6/productimages/singlepackshot/590784C00_RGB.png"/>
    <hyperlink ref="D2477" r:id="rId2476" display="https://us.pandora.net/on/demandware.static/-/Sites-pandora-master-catalog/default/dwbb259ca6/productimages/singlepackshot/590784C00_RGB.png"/>
    <hyperlink ref="D2478" r:id="rId2477" display="https://us.pandora.net/on/demandware.static/-/Sites-pandora-master-catalog/default/dwbb259ca6/productimages/singlepackshot/590784C00_RGB.png"/>
    <hyperlink ref="D2479" r:id="rId2478" display="https://us.pandora.net/on/demandware.static/-/Sites-pandora-master-catalog/default/dwbb259ca6/productimages/singlepackshot/590784C00_RGB.png"/>
    <hyperlink ref="D2480" r:id="rId2479" display="https://us.pandora.net/on/demandware.static/-/Sites-pandora-master-catalog/default/dwbb259ca6/productimages/singlepackshot/590784C00_RGB.png"/>
    <hyperlink ref="D2481" r:id="rId2480" display="https://us.pandora.net/on/demandware.static/-/Sites-pandora-master-catalog/default/dwbb259ca6/productimages/singlepackshot/590784C00_RGB.png"/>
    <hyperlink ref="D2482" r:id="rId2481" display="https://us.pandora.net/on/demandware.static/-/Sites-pandora-master-catalog/default/dwbb259ca6/productimages/singlepackshot/590784C00_RGB.png"/>
    <hyperlink ref="D2483" r:id="rId2482" display="https://us.pandora.net/on/demandware.static/-/Sites-pandora-master-catalog/default/dwbb259ca6/productimages/singlepackshot/591469C01_RGB.png"/>
    <hyperlink ref="D2484" r:id="rId2483" display="https://us.pandora.net/on/demandware.static/-/Sites-pandora-master-catalog/default/dwbb259ca6/productimages/singlepackshot/591469C01_RGB.png"/>
    <hyperlink ref="D2485" r:id="rId2484" display="https://us.pandora.net/on/demandware.static/-/Sites-pandora-master-catalog/default/dwbb259ca6/productimages/singlepackshot/591469C01_RGB.png"/>
    <hyperlink ref="D2486" r:id="rId2485" display="https://us.pandora.net/on/demandware.static/-/Sites-pandora-master-catalog/default/dwbb259ca6/productimages/singlepackshot/591469C02_RGB.png"/>
    <hyperlink ref="D2487" r:id="rId2486" display="https://us.pandora.net/on/demandware.static/-/Sites-pandora-master-catalog/default/dwbb259ca6/productimages/singlepackshot/591469C02_RGB.png"/>
    <hyperlink ref="D2488" r:id="rId2487" display="https://us.pandora.net/on/demandware.static/-/Sites-pandora-master-catalog/default/dwbb259ca6/productimages/singlepackshot/591469C02_RGB.png"/>
    <hyperlink ref="D2489" r:id="rId2488" display="https://us.pandora.net/on/demandware.static/-/Sites-pandora-master-catalog/default/dwbb259ca6/productimages/singlepackshot/591469C03_RGB.png"/>
    <hyperlink ref="D2490" r:id="rId2489" display="https://us.pandora.net/on/demandware.static/-/Sites-pandora-master-catalog/default/dwbb259ca6/productimages/singlepackshot/591469C03_RGB.png"/>
    <hyperlink ref="D2491" r:id="rId2490" display="https://us.pandora.net/on/demandware.static/-/Sites-pandora-master-catalog/default/dwbb259ca6/productimages/singlepackshot/591469C03_RGB.png"/>
    <hyperlink ref="D2492" r:id="rId2491" display="https://us.pandora.net/on/demandware.static/-/Sites-pandora-master-catalog/default/dwbb259ca6/productimages/singlepackshot/591469C04_RGB.png"/>
    <hyperlink ref="D2493" r:id="rId2492" display="https://us.pandora.net/on/demandware.static/-/Sites-pandora-master-catalog/default/dwbb259ca6/productimages/singlepackshot/591469C04_RGB.png"/>
    <hyperlink ref="D2494" r:id="rId2493" display="https://us.pandora.net/on/demandware.static/-/Sites-pandora-master-catalog/default/dwbb259ca6/productimages/singlepackshot/591469C04_RGB.png"/>
    <hyperlink ref="D2495" r:id="rId2494" display="https://us.pandora.net/on/demandware.static/-/Sites-pandora-master-catalog/default/dwbb259ca6/productimages/singlepackshot/591683C01_RGB.png"/>
    <hyperlink ref="D2496" r:id="rId2495" display="https://us.pandora.net/on/demandware.static/-/Sites-pandora-master-catalog/default/dwbb259ca6/productimages/singlepackshot/591683C01_RGB.png"/>
    <hyperlink ref="D2497" r:id="rId2496" display="https://us.pandora.net/on/demandware.static/-/Sites-pandora-master-catalog/default/dwbb259ca6/productimages/singlepackshot/591683C01_RGB.png"/>
    <hyperlink ref="D2498" r:id="rId2497" display="https://us.pandora.net/on/demandware.static/-/Sites-pandora-master-catalog/default/dwbb259ca6/productimages/singlepackshot/592313C01_RGB.png"/>
    <hyperlink ref="D2499" r:id="rId2498" display="https://us.pandora.net/on/demandware.static/-/Sites-pandora-master-catalog/default/dwbb259ca6/productimages/singlepackshot/592313C01_RGB.png"/>
    <hyperlink ref="D2500" r:id="rId2499" display="https://us.pandora.net/on/demandware.static/-/Sites-pandora-master-catalog/default/dwbb259ca6/productimages/singlepackshot/592313C01_RGB.png"/>
    <hyperlink ref="D2501" r:id="rId2500" display="https://us.pandora.net/on/demandware.static/-/Sites-pandora-master-catalog/default/dwbb259ca6/productimages/singlepackshot/592324C01_RGB.png"/>
    <hyperlink ref="D2502" r:id="rId2501" display="https://us.pandora.net/on/demandware.static/-/Sites-pandora-master-catalog/default/dwbb259ca6/productimages/singlepackshot/592324C01_RGB.png"/>
    <hyperlink ref="D2503" r:id="rId2502" display="https://us.pandora.net/on/demandware.static/-/Sites-pandora-master-catalog/default/dwbb259ca6/productimages/singlepackshot/592324C01_RGB.png"/>
    <hyperlink ref="D2504" r:id="rId2503" display="https://us.pandora.net/on/demandware.static/-/Sites-pandora-master-catalog/default/dwbb259ca6/productimages/singlepackshot/592340C00_RGB.png"/>
    <hyperlink ref="D2505" r:id="rId2504" display="https://us.pandora.net/on/demandware.static/-/Sites-pandora-master-catalog/default/dwbb259ca6/productimages/singlepackshot/592340C00_RGB.png"/>
    <hyperlink ref="D2506" r:id="rId2505" display="https://us.pandora.net/on/demandware.static/-/Sites-pandora-master-catalog/default/dwbb259ca6/productimages/singlepackshot/592340C00_RGB.png"/>
    <hyperlink ref="D2507" r:id="rId2506" display="https://us.pandora.net/on/demandware.static/-/Sites-pandora-master-catalog/default/dwbb259ca6/productimages/singlepackshot/592340C00_RGB.png"/>
    <hyperlink ref="D2508" r:id="rId2507" display="https://us.pandora.net/on/demandware.static/-/Sites-pandora-master-catalog/default/dwbb259ca6/productimages/singlepackshot/592340C00_RGB.png"/>
    <hyperlink ref="D2509" r:id="rId2508" display="https://us.pandora.net/on/demandware.static/-/Sites-pandora-master-catalog/default/dwbb259ca6/productimages/singlepackshot/592453C00_RGB.png"/>
    <hyperlink ref="D2510" r:id="rId2509" display="https://us.pandora.net/on/demandware.static/-/Sites-pandora-master-catalog/default/dwbb259ca6/productimages/singlepackshot/592453C00_RGB.png"/>
    <hyperlink ref="D2511" r:id="rId2510" display="https://us.pandora.net/on/demandware.static/-/Sites-pandora-master-catalog/default/dwbb259ca6/productimages/singlepackshot/592453C00_RGB.png"/>
    <hyperlink ref="D2512" r:id="rId2511" display="https://us.pandora.net/on/demandware.static/-/Sites-pandora-master-catalog/default/dwbb259ca6/productimages/singlepackshot/592453C00_RGB.png"/>
    <hyperlink ref="D2513" r:id="rId2512" display="https://us.pandora.net/on/demandware.static/-/Sites-pandora-master-catalog/default/dwbb259ca6/productimages/singlepackshot/592453C00_RGB.png"/>
    <hyperlink ref="D2514" r:id="rId2513" display="https://us.pandora.net/on/demandware.static/-/Sites-pandora-master-catalog/default/dwbb259ca6/productimages/singlepackshot/592453C00_RGB.png"/>
    <hyperlink ref="D2515" r:id="rId2514" display="https://us.pandora.net/on/demandware.static/-/Sites-pandora-master-catalog/default/dwbb259ca6/productimages/singlepackshot/592453C00_RGB.png"/>
    <hyperlink ref="D2516" r:id="rId2515" display="https://us.pandora.net/on/demandware.static/-/Sites-pandora-master-catalog/default/dwbb259ca6/productimages/singlepackshot/592645C01_RGB.png"/>
    <hyperlink ref="D2517" r:id="rId2516" display="https://us.pandora.net/on/demandware.static/-/Sites-pandora-master-catalog/default/dwbb259ca6/productimages/singlepackshot/592645C01_RGB.png"/>
    <hyperlink ref="D2518" r:id="rId2517" display="https://us.pandora.net/on/demandware.static/-/Sites-pandora-master-catalog/default/dwbb259ca6/productimages/singlepackshot/592645C01_RGB.png"/>
    <hyperlink ref="D2519" r:id="rId2518" display="https://us.pandora.net/on/demandware.static/-/Sites-pandora-master-catalog/default/dwbb259ca6/productimages/singlepackshot/592645C01_RGB.png"/>
    <hyperlink ref="D2520" r:id="rId2519" display="https://us.pandora.net/on/demandware.static/-/Sites-pandora-master-catalog/default/dwbb259ca6/productimages/singlepackshot/592645C01_RGB.png"/>
    <hyperlink ref="D2521" r:id="rId2520" display="https://us.pandora.net/on/demandware.static/-/Sites-pandora-master-catalog/default/dwbb259ca6/productimages/singlepackshot/592645C01_RGB.png"/>
    <hyperlink ref="D2522" r:id="rId2521" display="https://us.pandora.net/on/demandware.static/-/Sites-pandora-master-catalog/default/dwbb259ca6/productimages/singlepackshot/592645C01_RGB.png"/>
    <hyperlink ref="D2523" r:id="rId2522" display="https://us.pandora.net/on/demandware.static/-/Sites-pandora-master-catalog/default/dwbb259ca6/productimages/singlepackshot/592790C01_RGB.png"/>
    <hyperlink ref="D2524" r:id="rId2523" display="https://us.pandora.net/on/demandware.static/-/Sites-pandora-master-catalog/default/dwbb259ca6/productimages/singlepackshot/592790C01_RGB.png"/>
    <hyperlink ref="D2525" r:id="rId2524" display="https://us.pandora.net/on/demandware.static/-/Sites-pandora-master-catalog/default/dwbb259ca6/productimages/singlepackshot/592790C01_RGB.png"/>
    <hyperlink ref="D2526" r:id="rId2525" display="https://us.pandora.net/on/demandware.static/-/Sites-pandora-master-catalog/default/dwbb259ca6/productimages/singlepackshot/592793C00_RGB.png"/>
    <hyperlink ref="D2527" r:id="rId2526" display="https://us.pandora.net/on/demandware.static/-/Sites-pandora-master-catalog/default/dwbb259ca6/productimages/singlepackshot/592793C00_RGB.png"/>
    <hyperlink ref="D2528" r:id="rId2527" display="https://us.pandora.net/on/demandware.static/-/Sites-pandora-master-catalog/default/dwbb259ca6/productimages/singlepackshot/592793C00_RGB.png"/>
    <hyperlink ref="D2529" r:id="rId2528" display="https://us.pandora.net/on/demandware.static/-/Sites-pandora-master-catalog/default/dwbb259ca6/productimages/singlepackshot/592793C00_RGB.png"/>
    <hyperlink ref="D2530" r:id="rId2529" display="https://us.pandora.net/on/demandware.static/-/Sites-pandora-master-catalog/default/dwbb259ca6/productimages/singlepackshot/592793C00_RGB.png"/>
    <hyperlink ref="D2531" r:id="rId2530" display="https://us.pandora.net/on/demandware.static/-/Sites-pandora-master-catalog/default/dwbb259ca6/productimages/singlepackshot/592819C01_RGB.png"/>
    <hyperlink ref="D2532" r:id="rId2531" display="https://us.pandora.net/on/demandware.static/-/Sites-pandora-master-catalog/default/dwbb259ca6/productimages/singlepackshot/592819C01_RGB.png"/>
    <hyperlink ref="D2533" r:id="rId2532" display="https://us.pandora.net/on/demandware.static/-/Sites-pandora-master-catalog/default/dwbb259ca6/productimages/singlepackshot/592819C01_RGB.png"/>
    <hyperlink ref="D2534" r:id="rId2533" display="https://us.pandora.net/on/demandware.static/-/Sites-pandora-master-catalog/default/dwbb259ca6/productimages/singlepackshot/592819C01_RGB.png"/>
    <hyperlink ref="D2535" r:id="rId2534" display="https://us.pandora.net/on/demandware.static/-/Sites-pandora-master-catalog/default/dwbb259ca6/productimages/singlepackshot/592819C01_RGB.png"/>
    <hyperlink ref="D2536" r:id="rId2535" display="https://us.pandora.net/on/demandware.static/-/Sites-pandora-master-catalog/default/dwbb259ca6/productimages/singlepackshot/592819C01_RGB.png"/>
    <hyperlink ref="D2537" r:id="rId2536" display="https://us.pandora.net/on/demandware.static/-/Sites-pandora-master-catalog/default/dwbb259ca6/productimages/singlepackshot/592819C01_RGB.png"/>
    <hyperlink ref="D2538" r:id="rId2537" display="https://us.pandora.net/on/demandware.static/-/Sites-pandora-master-catalog/default/dwbb259ca6/productimages/singlepackshot/593001C01_RGB.png"/>
    <hyperlink ref="D2539" r:id="rId2538" display="https://us.pandora.net/on/demandware.static/-/Sites-pandora-master-catalog/default/dwbb259ca6/productimages/singlepackshot/593001C01_RGB.png"/>
    <hyperlink ref="D2540" r:id="rId2539" display="https://us.pandora.net/on/demandware.static/-/Sites-pandora-master-catalog/default/dwbb259ca6/productimages/singlepackshot/593001C01_RGB.png"/>
    <hyperlink ref="D2541" r:id="rId2540" display="https://us.pandora.net/on/demandware.static/-/Sites-pandora-master-catalog/default/dwbb259ca6/productimages/singlepackshot/593008C01_RGB.png"/>
    <hyperlink ref="D2542" r:id="rId2541" display="https://us.pandora.net/on/demandware.static/-/Sites-pandora-master-catalog/default/dwbb259ca6/productimages/singlepackshot/593008C01_RGB.png"/>
    <hyperlink ref="D2543" r:id="rId2542" display="https://us.pandora.net/on/demandware.static/-/Sites-pandora-master-catalog/default/dwbb259ca6/productimages/singlepackshot/593008C01_RGB.png"/>
    <hyperlink ref="D2544" r:id="rId2543" display="https://us.pandora.net/on/demandware.static/-/Sites-pandora-master-catalog/default/dwbb259ca6/productimages/singlepackshot/593061C00_RGB.png"/>
    <hyperlink ref="D2545" r:id="rId2544" display="https://us.pandora.net/on/demandware.static/-/Sites-pandora-master-catalog/default/dwbb259ca6/productimages/singlepackshot/593061C00_RGB.png"/>
    <hyperlink ref="D2546" r:id="rId2545" display="https://us.pandora.net/on/demandware.static/-/Sites-pandora-master-catalog/default/dwbb259ca6/productimages/singlepackshot/593061C00_RGB.png"/>
    <hyperlink ref="D2547" r:id="rId2546" display="https://us.pandora.net/on/demandware.static/-/Sites-pandora-master-catalog/default/dwbb259ca6/productimages/singlepackshot/593061C00_RGB.png"/>
    <hyperlink ref="D2548" r:id="rId2547" display="https://us.pandora.net/on/demandware.static/-/Sites-pandora-master-catalog/default/dwbb259ca6/productimages/singlepackshot/593061C00_RGB.png"/>
    <hyperlink ref="D2549" r:id="rId2548" display="https://us.pandora.net/on/demandware.static/-/Sites-pandora-master-catalog/default/dwbb259ca6/productimages/singlepackshot/593061C00_RGB.png"/>
    <hyperlink ref="D2550" r:id="rId2549" display="https://us.pandora.net/on/demandware.static/-/Sites-pandora-master-catalog/default/dwbb259ca6/productimages/singlepackshot/593061C00_RGB.png"/>
    <hyperlink ref="D2551" r:id="rId2550" display="https://us.pandora.net/on/demandware.static/-/Sites-pandora-master-catalog/default/dwbb259ca6/productimages/singlepackshot/593090C00_RGB.png"/>
    <hyperlink ref="D2552" r:id="rId2551" display="https://us.pandora.net/on/demandware.static/-/Sites-pandora-master-catalog/default/dwbb259ca6/productimages/singlepackshot/593172C01_RGB.png"/>
    <hyperlink ref="D2553" r:id="rId2552" display="https://us.pandora.net/on/demandware.static/-/Sites-pandora-master-catalog/default/dwbb259ca6/productimages/singlepackshot/593172C01_RGB.png"/>
    <hyperlink ref="D2554" r:id="rId2553" display="https://us.pandora.net/on/demandware.static/-/Sites-pandora-master-catalog/default/dwbb259ca6/productimages/singlepackshot/593172C01_RGB.png"/>
    <hyperlink ref="D2555" r:id="rId2554" display="https://us.pandora.net/on/demandware.static/-/Sites-pandora-master-catalog/default/dwbb259ca6/productimages/singlepackshot/593173C01_RGB.png"/>
    <hyperlink ref="D2556" r:id="rId2555" display="https://us.pandora.net/on/demandware.static/-/Sites-pandora-master-catalog/default/dwbb259ca6/productimages/singlepackshot/593173C01_RGB.png"/>
    <hyperlink ref="D2557" r:id="rId2556" display="https://us.pandora.net/on/demandware.static/-/Sites-pandora-master-catalog/default/dwbb259ca6/productimages/singlepackshot/593173C01_RGB.png"/>
    <hyperlink ref="D2558" r:id="rId2557" display="https://us.pandora.net/on/demandware.static/-/Sites-pandora-master-catalog/default/dwbb259ca6/productimages/singlepackshot/593317C00_RGB.png"/>
    <hyperlink ref="D2559" r:id="rId2558" display="https://us.pandora.net/on/demandware.static/-/Sites-pandora-master-catalog/default/dwbb259ca6/productimages/singlepackshot/593317C00_RGB.png"/>
    <hyperlink ref="D2560" r:id="rId2559" display="https://us.pandora.net/on/demandware.static/-/Sites-pandora-master-catalog/default/dwbb259ca6/productimages/singlepackshot/593317C00_RGB.png"/>
    <hyperlink ref="D2561" r:id="rId2560" display="https://us.pandora.net/on/demandware.static/-/Sites-pandora-master-catalog/default/dwbb259ca6/productimages/singlepackshot/593338C01_RGB.png"/>
    <hyperlink ref="D2562" r:id="rId2561" display="https://us.pandora.net/on/demandware.static/-/Sites-pandora-master-catalog/default/dwbb259ca6/productimages/singlepackshot/593361C01_RGB.png"/>
    <hyperlink ref="D2563" r:id="rId2562" display="https://us.pandora.net/on/demandware.static/-/Sites-pandora-master-catalog/default/dwbb259ca6/productimages/singlepackshot/593361C01_RGB.png"/>
    <hyperlink ref="D2564" r:id="rId2563" display="https://us.pandora.net/on/demandware.static/-/Sites-pandora-master-catalog/default/dwbb259ca6/productimages/singlepackshot/593361C01_RGB.png"/>
    <hyperlink ref="D2565" r:id="rId2564" display="https://us.pandora.net/on/demandware.static/-/Sites-pandora-master-catalog/default/dwbb259ca6/productimages/singlepackshot/593363C00_RGB.png"/>
    <hyperlink ref="D2566" r:id="rId2565" display="https://us.pandora.net/on/demandware.static/-/Sites-pandora-master-catalog/default/dwbb259ca6/productimages/singlepackshot/593363C00_RGB.png"/>
    <hyperlink ref="D2567" r:id="rId2566" display="https://us.pandora.net/on/demandware.static/-/Sites-pandora-master-catalog/default/dwbb259ca6/productimages/singlepackshot/593363C00_RGB.png"/>
    <hyperlink ref="D2568" r:id="rId2567" display="https://us.pandora.net/on/demandware.static/-/Sites-pandora-master-catalog/default/dwbb259ca6/productimages/singlepackshot/593363C00_RGB.png"/>
    <hyperlink ref="D2569" r:id="rId2568" display="https://us.pandora.net/on/demandware.static/-/Sites-pandora-master-catalog/default/dwbb259ca6/productimages/singlepackshot/593363C00_RGB.png"/>
    <hyperlink ref="D2570" r:id="rId2569" display="https://us.pandora.net/on/demandware.static/-/Sites-pandora-master-catalog/default/dwbb259ca6/productimages/singlepackshot/593400C01_RGB.png"/>
    <hyperlink ref="D2571" r:id="rId2570" display="https://us.pandora.net/on/demandware.static/-/Sites-pandora-master-catalog/default/dwbb259ca6/productimages/singlepackshot/593400C01_RGB.png"/>
    <hyperlink ref="D2572" r:id="rId2571" display="https://us.pandora.net/on/demandware.static/-/Sites-pandora-master-catalog/default/dwbb259ca6/productimages/singlepackshot/593400C01_RGB.png"/>
    <hyperlink ref="D2573" r:id="rId2572" display="https://us.pandora.net/on/demandware.static/-/Sites-pandora-master-catalog/default/dwbb259ca6/productimages/singlepackshot/593539C01_RGB.png"/>
    <hyperlink ref="D2574" r:id="rId2573" display="https://us.pandora.net/on/demandware.static/-/Sites-pandora-master-catalog/default/dwbb259ca6/productimages/singlepackshot/593539C01_RGB.png"/>
    <hyperlink ref="D2575" r:id="rId2574" display="https://us.pandora.net/on/demandware.static/-/Sites-pandora-master-catalog/default/dwbb259ca6/productimages/singlepackshot/593539C01_RGB.png"/>
    <hyperlink ref="D2576" r:id="rId2575" display="https://us.pandora.net/on/demandware.static/-/Sites-pandora-master-catalog/default/dwbb259ca6/productimages/singlepackshot/593572C01_RGB.png"/>
    <hyperlink ref="D2577" r:id="rId2576" display="https://us.pandora.net/on/demandware.static/-/Sites-pandora-master-catalog/default/dwbb259ca6/productimages/singlepackshot/593572C01_RGB.png"/>
    <hyperlink ref="D2578" r:id="rId2577" display="https://us.pandora.net/on/demandware.static/-/Sites-pandora-master-catalog/default/dwbb259ca6/productimages/singlepackshot/593572C01_RGB.png"/>
    <hyperlink ref="D2579" r:id="rId2578" display="https://us.pandora.net/on/demandware.static/-/Sites-pandora-master-catalog/default/dwbb259ca6/productimages/singlepackshot/593572C01_RGB.png"/>
    <hyperlink ref="D2580" r:id="rId2579" display="https://us.pandora.net/on/demandware.static/-/Sites-pandora-master-catalog/default/dwbb259ca6/productimages/singlepackshot/593572C01_RGB.png"/>
    <hyperlink ref="D2581" r:id="rId2580" display="https://us.pandora.net/on/demandware.static/-/Sites-pandora-master-catalog/default/dwbb259ca6/productimages/singlepackshot/593572C01_RGB.png"/>
    <hyperlink ref="D2582" r:id="rId2581" display="https://us.pandora.net/on/demandware.static/-/Sites-pandora-master-catalog/default/dwbb259ca6/productimages/singlepackshot/593572C01_RGB.png"/>
    <hyperlink ref="D2583" r:id="rId2582" display="https://us.pandora.net/on/demandware.static/-/Sites-pandora-master-catalog/default/dwbb259ca6/productimages/singlepackshot/593579C01_RGB.png"/>
    <hyperlink ref="D2584" r:id="rId2583" display="https://us.pandora.net/on/demandware.static/-/Sites-pandora-master-catalog/default/dwbb259ca6/productimages/singlepackshot/593579C01_RGB.png"/>
    <hyperlink ref="D2585" r:id="rId2584" display="https://us.pandora.net/on/demandware.static/-/Sites-pandora-master-catalog/default/dwbb259ca6/productimages/singlepackshot/593579C01_RGB.png"/>
    <hyperlink ref="D2586" r:id="rId2585" display="https://us.pandora.net/on/demandware.static/-/Sites-pandora-master-catalog/default/dwbb259ca6/productimages/singlepackshot/593584C01_RGB.png"/>
    <hyperlink ref="D2587" r:id="rId2586" display="https://us.pandora.net/on/demandware.static/-/Sites-pandora-master-catalog/default/dwbb259ca6/productimages/singlepackshot/593584C01_RGB.png"/>
    <hyperlink ref="D2588" r:id="rId2587" display="https://us.pandora.net/on/demandware.static/-/Sites-pandora-master-catalog/default/dwbb259ca6/productimages/singlepackshot/593584C01_RGB.png"/>
    <hyperlink ref="D2589" r:id="rId2588" display="https://us.pandora.net/on/demandware.static/-/Sites-pandora-master-catalog/default/dwbb259ca6/productimages/singlepackshot/593584C01_RGB.png"/>
    <hyperlink ref="D2590" r:id="rId2589" display="https://us.pandora.net/on/demandware.static/-/Sites-pandora-master-catalog/default/dwbb259ca6/productimages/singlepackshot/593584C01_RGB.png"/>
    <hyperlink ref="D2591" r:id="rId2590" display="https://us.pandora.net/on/demandware.static/-/Sites-pandora-master-catalog/default/dwbb259ca6/productimages/singlepackshot/593584C01_RGB.png"/>
    <hyperlink ref="D2592" r:id="rId2591" display="https://us.pandora.net/on/demandware.static/-/Sites-pandora-master-catalog/default/dwbb259ca6/productimages/singlepackshot/593584C01_RGB.png"/>
    <hyperlink ref="D2593" r:id="rId2592" display="https://us.pandora.net/on/demandware.static/-/Sites-pandora-master-catalog/default/dwbb259ca6/productimages/singlepackshot/593655C01_RGB.png"/>
    <hyperlink ref="D2594" r:id="rId2593" display="https://us.pandora.net/on/demandware.static/-/Sites-pandora-master-catalog/default/dwbb259ca6/productimages/singlepackshot/593655C01_RGB.png"/>
    <hyperlink ref="D2595" r:id="rId2594" display="https://us.pandora.net/on/demandware.static/-/Sites-pandora-master-catalog/default/dwbb259ca6/productimages/singlepackshot/593655C01_RGB.png"/>
    <hyperlink ref="D2596" r:id="rId2595" display="https://us.pandora.net/on/demandware.static/-/Sites-pandora-master-catalog/default/dwbb259ca6/productimages/singlepackshot/593681C00_RGB.png"/>
    <hyperlink ref="D2597" r:id="rId2596" display="https://us.pandora.net/on/demandware.static/-/Sites-pandora-master-catalog/default/dwbb259ca6/productimages/singlepackshot/593681C00_RGB.png"/>
    <hyperlink ref="D2598" r:id="rId2597" display="https://us.pandora.net/on/demandware.static/-/Sites-pandora-master-catalog/default/dwbb259ca6/productimages/singlepackshot/593681C00_RGB.png"/>
    <hyperlink ref="D2599" r:id="rId2598" display="https://us.pandora.net/on/demandware.static/-/Sites-pandora-master-catalog/default/dwbb259ca6/productimages/singlepackshot/593681C00_RGB.png"/>
    <hyperlink ref="D2600" r:id="rId2599" display="https://us.pandora.net/on/demandware.static/-/Sites-pandora-master-catalog/default/dwbb259ca6/productimages/singlepackshot/593681C00_RGB.png"/>
    <hyperlink ref="D2601" r:id="rId2600" display="https://us.pandora.net/on/demandware.static/-/Sites-pandora-master-catalog/default/dwbb259ca6/productimages/singlepackshot/593681C00_RGB.png"/>
    <hyperlink ref="D2602" r:id="rId2601" display="https://us.pandora.net/on/demandware.static/-/Sites-pandora-master-catalog/default/dwbb259ca6/productimages/singlepackshot/593681C00_RGB.png"/>
    <hyperlink ref="D2603" r:id="rId2602" display="https://us.pandora.net/on/demandware.static/-/Sites-pandora-master-catalog/default/dwbb259ca6/productimages/singlepackshot/593738C01_RGB.png"/>
    <hyperlink ref="D2604" r:id="rId2603" display="https://us.pandora.net/on/demandware.static/-/Sites-pandora-master-catalog/default/dwbb259ca6/productimages/singlepackshot/593738C01_RGB.png"/>
    <hyperlink ref="D2605" r:id="rId2604" display="https://us.pandora.net/on/demandware.static/-/Sites-pandora-master-catalog/default/dwbb259ca6/productimages/singlepackshot/593738C01_RGB.png"/>
    <hyperlink ref="D2606" r:id="rId2605" display="https://us.pandora.net/on/demandware.static/-/Sites-pandora-master-catalog/default/dwbb259ca6/productimages/singlepackshot/593738C01_RGB.png"/>
    <hyperlink ref="D2607" r:id="rId2606" display="https://us.pandora.net/on/demandware.static/-/Sites-pandora-master-catalog/default/dwbb259ca6/productimages/singlepackshot/593738C01_RGB.png"/>
    <hyperlink ref="D2608" r:id="rId2607" display="https://us.pandora.net/on/demandware.static/-/Sites-pandora-master-catalog/default/dwbb259ca6/productimages/singlepackshot/593757C00_RGB.png"/>
    <hyperlink ref="D2609" r:id="rId2608" display="https://us.pandora.net/on/demandware.static/-/Sites-pandora-master-catalog/default/dwbb259ca6/productimages/singlepackshot/593757C00_RGB.png"/>
    <hyperlink ref="D2610" r:id="rId2609" display="https://us.pandora.net/on/demandware.static/-/Sites-pandora-master-catalog/default/dwbb259ca6/productimages/singlepackshot/593757C00_RGB.png"/>
    <hyperlink ref="D2611" r:id="rId2610" display="https://us.pandora.net/on/demandware.static/-/Sites-pandora-master-catalog/default/dwbb259ca6/productimages/singlepackshot/593757C00_RGB.png"/>
    <hyperlink ref="D2612" r:id="rId2611" display="https://us.pandora.net/on/demandware.static/-/Sites-pandora-master-catalog/default/dwbb259ca6/productimages/singlepackshot/593757C00_RGB.png"/>
    <hyperlink ref="D2613" r:id="rId2612" display="https://us.pandora.net/on/demandware.static/-/Sites-pandora-master-catalog/default/dwbb259ca6/productimages/singlepackshot/593757C00_RGB.png"/>
    <hyperlink ref="D2614" r:id="rId2613" display="https://us.pandora.net/on/demandware.static/-/Sites-pandora-master-catalog/default/dwbb259ca6/productimages/singlepackshot/593757C00_RGB.png"/>
    <hyperlink ref="D2615" r:id="rId2614" display="https://us.pandora.net/on/demandware.static/-/Sites-pandora-master-catalog/default/dwbb259ca6/productimages/singlepackshot/593816C01_RGB.png"/>
    <hyperlink ref="D2616" r:id="rId2615" display="https://us.pandora.net/on/demandware.static/-/Sites-pandora-master-catalog/default/dwbb259ca6/productimages/singlepackshot/593816C01_RGB.png"/>
    <hyperlink ref="D2617" r:id="rId2616" display="https://us.pandora.net/on/demandware.static/-/Sites-pandora-master-catalog/default/dwbb259ca6/productimages/singlepackshot/593816C01_RGB.png"/>
    <hyperlink ref="D2618" r:id="rId2617" display="https://us.pandora.net/on/demandware.static/-/Sites-pandora-master-catalog/default/dwbb259ca6/productimages/singlepackshot/593816C01_RGB.png"/>
    <hyperlink ref="D2619" r:id="rId2618" display="https://us.pandora.net/on/demandware.static/-/Sites-pandora-master-catalog/default/dwbb259ca6/productimages/singlepackshot/593816C01_RGB.png"/>
    <hyperlink ref="D2620" r:id="rId2619" display="https://us.pandora.net/on/demandware.static/-/Sites-pandora-master-catalog/default/dwbb259ca6/productimages/singlepackshot/593853C00_RGB.png"/>
    <hyperlink ref="D2621" r:id="rId2620" display="https://us.pandora.net/on/demandware.static/-/Sites-pandora-master-catalog/default/dwbb259ca6/productimages/singlepackshot/593853C00_RGB.png"/>
    <hyperlink ref="D2622" r:id="rId2621" display="https://us.pandora.net/on/demandware.static/-/Sites-pandora-master-catalog/default/dwbb259ca6/productimages/singlepackshot/593853C00_RGB.png"/>
    <hyperlink ref="D2623" r:id="rId2622" display="https://us.pandora.net/on/demandware.static/-/Sites-pandora-master-catalog/default/dwbb259ca6/productimages/singlepackshot/593853C00_RGB.png"/>
    <hyperlink ref="D2624" r:id="rId2623" display="https://us.pandora.net/on/demandware.static/-/Sites-pandora-master-catalog/default/dwbb259ca6/productimages/singlepackshot/593853C00_RGB.png"/>
    <hyperlink ref="D2625" r:id="rId2624" display="https://us.pandora.net/on/demandware.static/-/Sites-pandora-master-catalog/default/dwbb259ca6/productimages/singlepackshot/593853C00_RGB.png"/>
    <hyperlink ref="D2626" r:id="rId2625" display="https://us.pandora.net/on/demandware.static/-/Sites-pandora-master-catalog/default/dwbb259ca6/productimages/singlepackshot/593854C00_RGB.png"/>
    <hyperlink ref="D2627" r:id="rId2626" display="https://us.pandora.net/on/demandware.static/-/Sites-pandora-master-catalog/default/dwbb259ca6/productimages/singlepackshot/593854C00_RGB.png"/>
    <hyperlink ref="D2628" r:id="rId2627" display="https://us.pandora.net/on/demandware.static/-/Sites-pandora-master-catalog/default/dwbb259ca6/productimages/singlepackshot/593854C00_RGB.png"/>
    <hyperlink ref="D2629" r:id="rId2628" display="https://us.pandora.net/on/demandware.static/-/Sites-pandora-master-catalog/default/dwbb259ca6/productimages/singlepackshot/593854C00_RGB.png"/>
    <hyperlink ref="D2630" r:id="rId2629" display="https://us.pandora.net/on/demandware.static/-/Sites-pandora-master-catalog/default/dwbb259ca6/productimages/singlepackshot/593854C00_RGB.png"/>
    <hyperlink ref="D2631" r:id="rId2630" display="https://us.pandora.net/on/demandware.static/-/Sites-pandora-master-catalog/default/dwbb259ca6/productimages/singlepackshot/593927C01_RGB.png"/>
    <hyperlink ref="D2632" r:id="rId2631" display="https://us.pandora.net/on/demandware.static/-/Sites-pandora-master-catalog/default/dwbb259ca6/productimages/singlepackshot/593927C01_RGB.png"/>
    <hyperlink ref="D2633" r:id="rId2632" display="https://us.pandora.net/on/demandware.static/-/Sites-pandora-master-catalog/default/dwbb259ca6/productimages/singlepackshot/593927C01_RGB.png"/>
    <hyperlink ref="D2634" r:id="rId2633" display="https://us.pandora.net/on/demandware.static/-/Sites-pandora-master-catalog/default/dwbb259ca6/productimages/singlepackshot/594010C01_RGB.png"/>
    <hyperlink ref="D2635" r:id="rId2634" display="https://us.pandora.net/on/demandware.static/-/Sites-pandora-master-catalog/default/dwbb259ca6/productimages/singlepackshot/594010C01_RGB.png"/>
    <hyperlink ref="D2636" r:id="rId2635" display="https://us.pandora.net/on/demandware.static/-/Sites-pandora-master-catalog/default/dwbb259ca6/productimages/singlepackshot/594010C01_RGB.png"/>
    <hyperlink ref="D2637" r:id="rId2636" display="https://us.pandora.net/on/demandware.static/-/Sites-pandora-master-catalog/default/dwbb259ca6/productimages/singlepackshot/594028C00_RGB.png"/>
    <hyperlink ref="D2638" r:id="rId2637" display="https://us.pandora.net/on/demandware.static/-/Sites-pandora-master-catalog/default/dwbb259ca6/productimages/singlepackshot/594028C00_RGB.png"/>
    <hyperlink ref="D2639" r:id="rId2638" display="https://us.pandora.net/on/demandware.static/-/Sites-pandora-master-catalog/default/dwbb259ca6/productimages/singlepackshot/594028C00_RGB.png"/>
    <hyperlink ref="D2640" r:id="rId2639" display="https://us.pandora.net/on/demandware.static/-/Sites-pandora-master-catalog/default/dwbb259ca6/productimages/singlepackshot/594028C00_RGB.png"/>
    <hyperlink ref="D2641" r:id="rId2640" display="https://us.pandora.net/on/demandware.static/-/Sites-pandora-master-catalog/default/dwbb259ca6/productimages/singlepackshot/594028C00_RGB.png"/>
    <hyperlink ref="D2642" r:id="rId2641" display="https://us.pandora.net/on/demandware.static/-/Sites-pandora-master-catalog/default/dwbb259ca6/productimages/singlepackshot/594028C00_RGB.png"/>
    <hyperlink ref="D2643" r:id="rId2642" display="https://us.pandora.net/on/demandware.static/-/Sites-pandora-master-catalog/default/dwbb259ca6/productimages/singlepackshot/594028C00_RGB.png"/>
    <hyperlink ref="D2644" r:id="rId2643" display="https://us.pandora.net/on/demandware.static/-/Sites-pandora-master-catalog/default/dwbb259ca6/productimages/singlepackshot/594226C01_RGB.png"/>
    <hyperlink ref="D2645" r:id="rId2644" display="https://us.pandora.net/on/demandware.static/-/Sites-pandora-master-catalog/default/dwbb259ca6/productimages/singlepackshot/594226C01_RGB.png"/>
    <hyperlink ref="D2646" r:id="rId2645" display="https://us.pandora.net/on/demandware.static/-/Sites-pandora-master-catalog/default/dwbb259ca6/productimages/singlepackshot/594226C01_RGB.png"/>
    <hyperlink ref="D2647" r:id="rId2646" display="https://us.pandora.net/on/demandware.static/-/Sites-pandora-master-catalog/default/dwbb259ca6/productimages/singlepackshot/594227C01_RGB.png"/>
    <hyperlink ref="D2648" r:id="rId2647" display="https://us.pandora.net/on/demandware.static/-/Sites-pandora-master-catalog/default/dwbb259ca6/productimages/singlepackshot/594227C01_RGB.png"/>
    <hyperlink ref="D2649" r:id="rId2648" display="https://us.pandora.net/on/demandware.static/-/Sites-pandora-master-catalog/default/dwbb259ca6/productimages/singlepackshot/594227C01_RGB.png"/>
    <hyperlink ref="D2650" r:id="rId2649" display="https://us.pandora.net/on/demandware.static/-/Sites-pandora-master-catalog/default/dwbb259ca6/productimages/singlepackshot/594234C01_RGB.png"/>
    <hyperlink ref="D2651" r:id="rId2650" display="https://us.pandora.net/on/demandware.static/-/Sites-pandora-master-catalog/default/dwbb259ca6/productimages/singlepackshot/594234C01_RGB.png"/>
    <hyperlink ref="D2652" r:id="rId2651" display="https://us.pandora.net/on/demandware.static/-/Sites-pandora-master-catalog/default/dwbb259ca6/productimages/singlepackshot/594234C01_RGB.png"/>
    <hyperlink ref="D2653" r:id="rId2652" display="https://us.pandora.net/on/demandware.static/-/Sites-pandora-master-catalog/default/dwbb259ca6/productimages/singlepackshot/594236C00_RGB.png"/>
    <hyperlink ref="D2654" r:id="rId2653" display="https://us.pandora.net/on/demandware.static/-/Sites-pandora-master-catalog/default/dwbb259ca6/productimages/singlepackshot/594236C00_RGB.png"/>
    <hyperlink ref="D2655" r:id="rId2654" display="https://us.pandora.net/on/demandware.static/-/Sites-pandora-master-catalog/default/dwbb259ca6/productimages/singlepackshot/594236C00_RGB.png"/>
    <hyperlink ref="D2656" r:id="rId2655" display="https://us.pandora.net/on/demandware.static/-/Sites-pandora-master-catalog/default/dwbb259ca6/productimages/singlepackshot/594236C00_RGB.png"/>
    <hyperlink ref="D2657" r:id="rId2656" display="https://us.pandora.net/on/demandware.static/-/Sites-pandora-master-catalog/default/dwbb259ca6/productimages/singlepackshot/594236C00_RGB.png"/>
    <hyperlink ref="D2658" r:id="rId2657" display="https://us.pandora.net/on/demandware.static/-/Sites-pandora-master-catalog/default/dwbb259ca6/productimages/singlepackshot/594236C00_RGB.png"/>
    <hyperlink ref="D2659" r:id="rId2658" display="https://us.pandora.net/on/demandware.static/-/Sites-pandora-master-catalog/default/dwbb259ca6/productimages/singlepackshot/594236C00_RGB.png"/>
    <hyperlink ref="D2660" r:id="rId2659" display="https://us.pandora.net/on/demandware.static/-/Sites-pandora-master-catalog/default/dwbb259ca6/productimages/singlepackshot/594262C01_RGB.png"/>
    <hyperlink ref="D2661" r:id="rId2660" display="https://us.pandora.net/on/demandware.static/-/Sites-pandora-master-catalog/default/dwbb259ca6/productimages/singlepackshot/594262C01_RGB.png"/>
    <hyperlink ref="D2662" r:id="rId2661" display="https://us.pandora.net/on/demandware.static/-/Sites-pandora-master-catalog/default/dwbb259ca6/productimages/singlepackshot/594262C01_RGB.png"/>
    <hyperlink ref="D2663" r:id="rId2662" display="https://us.pandora.net/on/demandware.static/-/Sites-pandora-master-catalog/default/dwbb259ca6/productimages/singlepackshot/596268_RGB.png"/>
    <hyperlink ref="D2664" r:id="rId2663" display="https://us.pandora.net/on/demandware.static/-/Sites-pandora-master-catalog/default/dwbb259ca6/productimages/singlepackshot/596268_RGB.png"/>
    <hyperlink ref="D2665" r:id="rId2664" display="https://us.pandora.net/on/demandware.static/-/Sites-pandora-master-catalog/default/dwbb259ca6/productimages/singlepackshot/596268_RGB.png"/>
    <hyperlink ref="D2666" r:id="rId2665" display="https://us.pandora.net/on/demandware.static/-/Sites-pandora-master-catalog/default/dwbb259ca6/productimages/singlepackshot/596268_RGB.png"/>
    <hyperlink ref="D2667" r:id="rId2666" display="https://us.pandora.net/on/demandware.static/-/Sites-pandora-master-catalog/default/dwbb259ca6/productimages/singlepackshot/596477_RGB.png"/>
    <hyperlink ref="D2668" r:id="rId2667" display="https://us.pandora.net/on/demandware.static/-/Sites-pandora-master-catalog/default/dwbb259ca6/productimages/singlepackshot/597770CZ_RGB.png"/>
    <hyperlink ref="D2669" r:id="rId2668" display="https://us.pandora.net/on/demandware.static/-/Sites-pandora-master-catalog/default/dwbb259ca6/productimages/singlepackshot/597770CZ_RGB.png"/>
    <hyperlink ref="D2670" r:id="rId2669" display="https://us.pandora.net/on/demandware.static/-/Sites-pandora-master-catalog/default/dwbb259ca6/productimages/singlepackshot/597770CZ_RGB.png"/>
    <hyperlink ref="D2671" r:id="rId2670" display="https://us.pandora.net/on/demandware.static/-/Sites-pandora-master-catalog/default/dwbb259ca6/productimages/singlepackshot/597770CZ_RGB.png"/>
    <hyperlink ref="D2672" r:id="rId2671" display="https://us.pandora.net/on/demandware.static/-/Sites-pandora-master-catalog/default/dwbb259ca6/productimages/singlepackshot/597770CZ_RGB.png"/>
    <hyperlink ref="D2673" r:id="rId2672" display="https://us.pandora.net/on/demandware.static/-/Sites-pandora-master-catalog/default/dwbb259ca6/productimages/singlepackshot/597770CZ_RGB.png"/>
    <hyperlink ref="D2674" r:id="rId2673" display="https://us.pandora.net/on/demandware.static/-/Sites-pandora-master-catalog/default/dwbb259ca6/productimages/singlepackshot/598342CZ_RGB.png"/>
    <hyperlink ref="D2675" r:id="rId2674" display="https://us.pandora.net/on/demandware.static/-/Sites-pandora-master-catalog/default/dwbb259ca6/productimages/singlepackshot/598342CZ_RGB.png"/>
    <hyperlink ref="D2676" r:id="rId2675" display="https://us.pandora.net/on/demandware.static/-/Sites-pandora-master-catalog/default/dwbb259ca6/productimages/singlepackshot/598342CZ_RGB.png"/>
    <hyperlink ref="D2677" r:id="rId2676" display="https://us.pandora.net/on/demandware.static/-/Sites-pandora-master-catalog/default/dwbb259ca6/productimages/singlepackshot/598498C01_RGB.png"/>
    <hyperlink ref="D2678" r:id="rId2677" display="https://us.pandora.net/on/demandware.static/-/Sites-pandora-master-catalog/default/dwbb259ca6/productimages/singlepackshot/598498C01_RGB.png"/>
    <hyperlink ref="D2679" r:id="rId2678" display="https://us.pandora.net/on/demandware.static/-/Sites-pandora-master-catalog/default/dwbb259ca6/productimages/singlepackshot/598498C01_RGB.png"/>
    <hyperlink ref="D2680" r:id="rId2679" display="https://us.pandora.net/on/demandware.static/-/Sites-pandora-master-catalog/default/dwbb259ca6/productimages/singlepackshot/598816C00_RGB.png"/>
    <hyperlink ref="D2681" r:id="rId2680" display="https://us.pandora.net/on/demandware.static/-/Sites-pandora-master-catalog/default/dwbb259ca6/productimages/singlepackshot/598816C00_RGB.png"/>
    <hyperlink ref="D2682" r:id="rId2681" display="https://us.pandora.net/on/demandware.static/-/Sites-pandora-master-catalog/default/dwbb259ca6/productimages/singlepackshot/598816C00_RGB.png"/>
    <hyperlink ref="D2683" r:id="rId2682" display="https://us.pandora.net/on/demandware.static/-/Sites-pandora-master-catalog/default/dwbb259ca6/productimages/singlepackshot/598816C00_RGB.png"/>
    <hyperlink ref="D2684" r:id="rId2683" display="https://us.pandora.net/on/demandware.static/-/Sites-pandora-master-catalog/default/dwbb259ca6/productimages/singlepackshot/598816C00_RGB.png"/>
    <hyperlink ref="D2685" r:id="rId2684" display="https://us.pandora.net/on/demandware.static/-/Sites-pandora-master-catalog/default/dwbb259ca6/productimages/singlepackshot/598816C00_RGB.png"/>
    <hyperlink ref="D2686" r:id="rId2685" display="https://us.pandora.net/on/demandware.static/-/Sites-pandora-master-catalog/default/dwbb259ca6/productimages/singlepackshot/598816C00_RGB.png"/>
    <hyperlink ref="D2687" r:id="rId2686" display="https://us.pandora.net/on/demandware.static/-/Sites-pandora-master-catalog/default/dwbb259ca6/productimages/singlepackshot/598816C00_RGB.png"/>
    <hyperlink ref="D2688" r:id="rId2687" display="https://us.pandora.net/on/demandware.static/-/Sites-pandora-master-catalog/default/dwbb259ca6/productimages/singlepackshot/598827C01_RGB.png"/>
    <hyperlink ref="D2689" r:id="rId2688" display="https://us.pandora.net/on/demandware.static/-/Sites-pandora-master-catalog/default/dwbb259ca6/productimages/singlepackshot/598827C01_RGB.png"/>
    <hyperlink ref="D2690" r:id="rId2689" display="https://us.pandora.net/on/demandware.static/-/Sites-pandora-master-catalog/default/dwbb259ca6/productimages/singlepackshot/598827C01_RGB.png"/>
    <hyperlink ref="D2691" r:id="rId2690" display="https://us.pandora.net/on/demandware.static/-/Sites-pandora-master-catalog/default/dwbb259ca6/productimages/singlepackshot/598827C01_RGB.png"/>
    <hyperlink ref="D2692" r:id="rId2691" display="https://us.pandora.net/on/demandware.static/-/Sites-pandora-master-catalog/default/dwbb259ca6/productimages/singlepackshot/598827C01_RGB.png"/>
    <hyperlink ref="D2693" r:id="rId2692" display="https://us.pandora.net/on/demandware.static/-/Sites-pandora-master-catalog/default/dwbb259ca6/productimages/singlepackshot/598827C01_RGB.png"/>
    <hyperlink ref="D2694" r:id="rId2693" display="https://us.pandora.net/on/demandware.static/-/Sites-pandora-master-catalog/default/dwbb259ca6/productimages/singlepackshot/598827C01_RGB.png"/>
    <hyperlink ref="D2695" r:id="rId2694" display="https://us.pandora.net/on/demandware.static/-/Sites-pandora-master-catalog/default/dwbb259ca6/productimages/singlepackshot/599046C01_RGB.png"/>
    <hyperlink ref="D2696" r:id="rId2695" display="https://us.pandora.net/on/demandware.static/-/Sites-pandora-master-catalog/default/dwbb259ca6/productimages/singlepackshot/599046C01_RGB.png"/>
    <hyperlink ref="D2697" r:id="rId2696" display="https://us.pandora.net/on/demandware.static/-/Sites-pandora-master-catalog/default/dwbb259ca6/productimages/singlepackshot/599046C01_RGB.png"/>
    <hyperlink ref="D2698" r:id="rId2697" display="https://us.pandora.net/on/demandware.static/-/Sites-pandora-master-catalog/default/dwbb259ca6/productimages/singlepackshot/599046C01_RGB.png"/>
    <hyperlink ref="D2699" r:id="rId2698" display="https://us.pandora.net/on/demandware.static/-/Sites-pandora-master-catalog/default/dwbb259ca6/productimages/singlepackshot/599046C01_RGB.png"/>
    <hyperlink ref="D2700" r:id="rId2699" display="https://us.pandora.net/on/demandware.static/-/Sites-pandora-master-catalog/default/dwbb259ca6/productimages/singlepackshot/599046C01_RGB.png"/>
    <hyperlink ref="D2701" r:id="rId2700" display="https://us.pandora.net/on/demandware.static/-/Sites-pandora-master-catalog/default/dwbb259ca6/productimages/singlepackshot/599046C01_RGB.png"/>
    <hyperlink ref="D2702" r:id="rId2701" display="https://us.pandora.net/on/demandware.static/-/Sites-pandora-master-catalog/default/dwbb259ca6/productimages/singlepackshot/599190C01_RGB.png"/>
    <hyperlink ref="D2703" r:id="rId2702" display="https://us.pandora.net/on/demandware.static/-/Sites-pandora-master-catalog/default/dwbb259ca6/productimages/singlepackshot/599190C01_RGB.png"/>
    <hyperlink ref="D2704" r:id="rId2703" display="https://us.pandora.net/on/demandware.static/-/Sites-pandora-master-catalog/default/dwbb259ca6/productimages/singlepackshot/599190C01_RGB.png"/>
    <hyperlink ref="D2705" r:id="rId2704" display="https://us.pandora.net/on/demandware.static/-/Sites-pandora-master-catalog/default/dwbb259ca6/productimages/singlepackshot/599190C01_RGB.png"/>
    <hyperlink ref="D2706" r:id="rId2705" display="https://us.pandora.net/on/demandware.static/-/Sites-pandora-master-catalog/default/dwbb259ca6/productimages/singlepackshot/599190C01_RGB.png"/>
    <hyperlink ref="D2707" r:id="rId2706" display="https://us.pandora.net/on/demandware.static/-/Sites-pandora-master-catalog/default/dwbb259ca6/productimages/singlepackshot/599190C01_RGB.png"/>
    <hyperlink ref="D2708" r:id="rId2707" display="https://us.pandora.net/on/demandware.static/-/Sites-pandora-master-catalog/default/dwbb259ca6/productimages/singlepackshot/599206C00_RGB.png"/>
    <hyperlink ref="D2709" r:id="rId2708" display="https://us.pandora.net/on/demandware.static/-/Sites-pandora-master-catalog/default/dwbb259ca6/productimages/singlepackshot/599206C00_RGB.png"/>
    <hyperlink ref="D2710" r:id="rId2709" display="https://us.pandora.net/on/demandware.static/-/Sites-pandora-master-catalog/default/dwbb259ca6/productimages/singlepackshot/599206C00_RGB.png"/>
    <hyperlink ref="D2711" r:id="rId2710" display="https://us.pandora.net/on/demandware.static/-/Sites-pandora-master-catalog/default/dwbb259ca6/productimages/singlepackshot/599206C00_RGB.png"/>
    <hyperlink ref="D2712" r:id="rId2711" display="https://us.pandora.net/on/demandware.static/-/Sites-pandora-master-catalog/default/dwbb259ca6/productimages/singlepackshot/599206C00_RGB.png"/>
    <hyperlink ref="D2713" r:id="rId2712" display="https://us.pandora.net/on/demandware.static/-/Sites-pandora-master-catalog/default/dwbb259ca6/productimages/singlepackshot/599206C00_RGB.png"/>
    <hyperlink ref="D2714" r:id="rId2713" display="https://us.pandora.net/on/demandware.static/-/Sites-pandora-master-catalog/default/dwbb259ca6/productimages/singlepackshot/599206C00_RGB.png"/>
    <hyperlink ref="D2715" r:id="rId2714" display="https://us.pandora.net/on/demandware.static/-/Sites-pandora-master-catalog/default/dwbb259ca6/productimages/singlepackshot/599285C00_RGB.png"/>
    <hyperlink ref="D2716" r:id="rId2715" display="https://us.pandora.net/on/demandware.static/-/Sites-pandora-master-catalog/default/dwbb259ca6/productimages/singlepackshot/599285C00_RGB.png"/>
    <hyperlink ref="D2717" r:id="rId2716" display="https://us.pandora.net/on/demandware.static/-/Sites-pandora-master-catalog/default/dwbb259ca6/productimages/singlepackshot/599285C00_RGB.png"/>
    <hyperlink ref="D2718" r:id="rId2717" display="https://us.pandora.net/on/demandware.static/-/Sites-pandora-master-catalog/default/dwbb259ca6/productimages/singlepackshot/599285C00_RGB.png"/>
    <hyperlink ref="D2719" r:id="rId2718" display="https://us.pandora.net/on/demandware.static/-/Sites-pandora-master-catalog/default/dwbb259ca6/productimages/singlepackshot/599285C00_RGB.png"/>
    <hyperlink ref="D2720" r:id="rId2719" display="https://us.pandora.net/on/demandware.static/-/Sites-pandora-master-catalog/default/dwbb259ca6/productimages/singlepackshot/599285C00_RGB.png"/>
    <hyperlink ref="D2721" r:id="rId2720" display="https://us.pandora.net/on/demandware.static/-/Sites-pandora-master-catalog/default/dwbb259ca6/productimages/singlepackshot/599285C00_RGB.png"/>
    <hyperlink ref="D2722" r:id="rId2721" display="https://us.pandora.net/on/demandware.static/-/Sites-pandora-master-catalog/default/dwbb259ca6/productimages/singlepackshot/599288C01_RGB.png"/>
    <hyperlink ref="D2723" r:id="rId2722" display="https://us.pandora.net/on/demandware.static/-/Sites-pandora-master-catalog/default/dwbb259ca6/productimages/singlepackshot/599288C01_RGB.png"/>
    <hyperlink ref="D2724" r:id="rId2723" display="https://us.pandora.net/on/demandware.static/-/Sites-pandora-master-catalog/default/dwbb259ca6/productimages/singlepackshot/599288C01_RGB.png"/>
    <hyperlink ref="D2725" r:id="rId2724" display="https://us.pandora.net/on/demandware.static/-/Sites-pandora-master-catalog/default/dwbb259ca6/productimages/singlepackshot/599288C01_RGB.png"/>
    <hyperlink ref="D2726" r:id="rId2725" display="https://us.pandora.net/on/demandware.static/-/Sites-pandora-master-catalog/default/dwbb259ca6/productimages/singlepackshot/599288C01_RGB.png"/>
    <hyperlink ref="D2727" r:id="rId2726" display="https://us.pandora.net/on/demandware.static/-/Sites-pandora-master-catalog/default/dwbb259ca6/productimages/singlepackshot/599288C01_RGB.png"/>
    <hyperlink ref="D2728" r:id="rId2727" display="https://us.pandora.net/on/demandware.static/-/Sites-pandora-master-catalog/default/dwbb259ca6/productimages/singlepackshot/599288C01_RGB.png"/>
    <hyperlink ref="D2729" r:id="rId2728" display="https://us.pandora.net/on/demandware.static/-/Sites-pandora-master-catalog/default/dwbb259ca6/productimages/singlepackshot/599375C01_RGB.png"/>
    <hyperlink ref="D2730" r:id="rId2729" display="https://us.pandora.net/on/demandware.static/-/Sites-pandora-master-catalog/default/dwbb259ca6/productimages/singlepackshot/599375C01_RGB.png"/>
    <hyperlink ref="D2731" r:id="rId2730" display="https://us.pandora.net/on/demandware.static/-/Sites-pandora-master-catalog/default/dwbb259ca6/productimages/singlepackshot/599416C01_RGB.png"/>
    <hyperlink ref="D2732" r:id="rId2731" display="https://us.pandora.net/on/demandware.static/-/Sites-pandora-master-catalog/default/dwbb259ca6/productimages/singlepackshot/599416C01_RGB.png"/>
    <hyperlink ref="D2733" r:id="rId2732" display="https://us.pandora.net/on/demandware.static/-/Sites-pandora-master-catalog/default/dwbb259ca6/productimages/singlepackshot/599416C01_RGB.png"/>
    <hyperlink ref="D2734" r:id="rId2733" display="https://us.pandora.net/on/demandware.static/-/Sites-pandora-master-catalog/default/dwbb259ca6/productimages/singlepackshot/599523C00_RGB.png"/>
    <hyperlink ref="D2735" r:id="rId2734" display="https://us.pandora.net/on/demandware.static/-/Sites-pandora-master-catalog/default/dwbb259ca6/productimages/singlepackshot/599523C00_RGB.png"/>
    <hyperlink ref="D2736" r:id="rId2735" display="https://us.pandora.net/on/demandware.static/-/Sites-pandora-master-catalog/default/dwbb259ca6/productimages/singlepackshot/599523C00_RGB.png"/>
    <hyperlink ref="D2737" r:id="rId2736" display="https://us.pandora.net/on/demandware.static/-/Sites-pandora-master-catalog/default/dwbb259ca6/productimages/singlepackshot/599539C00_RGB.png"/>
    <hyperlink ref="D2738" r:id="rId2737" display="https://us.pandora.net/on/demandware.static/-/Sites-pandora-master-catalog/default/dwbb259ca6/productimages/singlepackshot/599539C00_RGB.png"/>
    <hyperlink ref="D2739" r:id="rId2738" display="https://us.pandora.net/on/demandware.static/-/Sites-pandora-master-catalog/default/dwbb259ca6/productimages/singlepackshot/599539C00_RGB.png"/>
    <hyperlink ref="D2740" r:id="rId2739" display="https://us.pandora.net/on/demandware.static/-/Sites-pandora-master-catalog/default/dwbb259ca6/productimages/singlepackshot/599539C00_RGB.png"/>
    <hyperlink ref="D2741" r:id="rId2740" display="https://us.pandora.net/on/demandware.static/-/Sites-pandora-master-catalog/default/dwbb259ca6/productimages/singlepackshot/599539C00_RGB.png"/>
    <hyperlink ref="D2742" r:id="rId2741" display="https://us.pandora.net/on/demandware.static/-/Sites-pandora-master-catalog/default/dwbb259ca6/productimages/singlepackshot/599539C00_RGB.png"/>
    <hyperlink ref="D2743" r:id="rId2742" display="https://us.pandora.net/on/demandware.static/-/Sites-pandora-master-catalog/default/dwbb259ca6/productimages/singlepackshot/599539C00_RGB.png"/>
    <hyperlink ref="D2744" r:id="rId2743" display="https://us.pandora.net/on/demandware.static/-/Sites-pandora-master-catalog/default/dwbb259ca6/productimages/singlepackshot/599588C00_RGB.png"/>
    <hyperlink ref="D2745" r:id="rId2744" display="https://us.pandora.net/on/demandware.static/-/Sites-pandora-master-catalog/default/dwbb259ca6/productimages/singlepackshot/599588C00_RGB.png"/>
    <hyperlink ref="D2746" r:id="rId2745" display="https://us.pandora.net/on/demandware.static/-/Sites-pandora-master-catalog/default/dwbb259ca6/productimages/singlepackshot/599588C00_RGB.png"/>
    <hyperlink ref="D2747" r:id="rId2746" display="https://us.pandora.net/on/demandware.static/-/Sites-pandora-master-catalog/default/dwbb259ca6/productimages/singlepackshot/599588C00_RGB.png"/>
    <hyperlink ref="D2748" r:id="rId2747" display="https://us.pandora.net/on/demandware.static/-/Sites-pandora-master-catalog/default/dwbb259ca6/productimages/singlepackshot/599588C00_RGB.png"/>
    <hyperlink ref="D2749" r:id="rId2748" display="https://us.pandora.net/on/demandware.static/-/Sites-pandora-master-catalog/default/dwbb259ca6/productimages/singlepackshot/599639C01_RGB.png"/>
    <hyperlink ref="D2750" r:id="rId2749" display="https://us.pandora.net/on/demandware.static/-/Sites-pandora-master-catalog/default/dwbb259ca6/productimages/singlepackshot/599639C01_RGB.png"/>
    <hyperlink ref="D2751" r:id="rId2750" display="https://us.pandora.net/on/demandware.static/-/Sites-pandora-master-catalog/default/dwbb259ca6/productimages/singlepackshot/599639C01_RGB.png"/>
    <hyperlink ref="D2752" r:id="rId2751" display="https://us.pandora.net/on/demandware.static/-/Sites-pandora-master-catalog/default/dwbb259ca6/productimages/singlepackshot/599639C01_RGB.png"/>
    <hyperlink ref="D2753" r:id="rId2752" display="https://us.pandora.net/on/demandware.static/-/Sites-pandora-master-catalog/default/dwbb259ca6/productimages/singlepackshot/599639C01_RGB.png"/>
    <hyperlink ref="D2754" r:id="rId2753" display="https://us.pandora.net/on/demandware.static/-/Sites-pandora-master-catalog/default/dwbb259ca6/productimages/singlepackshot/599639C01_RGB.png"/>
    <hyperlink ref="D2755" r:id="rId2754" display="https://us.pandora.net/on/demandware.static/-/Sites-pandora-master-catalog/default/dwbb259ca6/productimages/singlepackshot/599639C01_RGB.png"/>
    <hyperlink ref="D2756" r:id="rId2755" display="https://us.pandora.net/on/demandware.static/-/Sites-pandora-master-catalog/default/dwbb259ca6/productimages/singlepackshot/599652C01_RGB.png"/>
    <hyperlink ref="D2757" r:id="rId2756" display="https://us.pandora.net/on/demandware.static/-/Sites-pandora-master-catalog/default/dwbb259ca6/productimages/singlepackshot/599662C00_RGB.png"/>
    <hyperlink ref="D2758" r:id="rId2757" display="https://us.pandora.net/on/demandware.static/-/Sites-pandora-master-catalog/default/dwbb259ca6/productimages/singlepackshot/599662C00_RGB.png"/>
    <hyperlink ref="D2759" r:id="rId2758" display="https://us.pandora.net/on/demandware.static/-/Sites-pandora-master-catalog/default/dwbb259ca6/productimages/singlepackshot/599662C00_RGB.png"/>
    <hyperlink ref="D2760" r:id="rId2759" display="https://us.pandora.net/on/demandware.static/-/Sites-pandora-master-catalog/default/dwbb259ca6/productimages/singlepackshot/599662C00_RGB.png"/>
    <hyperlink ref="D2761" r:id="rId2760" display="https://us.pandora.net/on/demandware.static/-/Sites-pandora-master-catalog/default/dwbb259ca6/productimages/singlepackshot/599662C00_RGB.png"/>
    <hyperlink ref="D2762" r:id="rId2761" display="https://us.pandora.net/on/demandware.static/-/Sites-pandora-master-catalog/default/dwbb259ca6/productimages/singlepackshot/752328C00_RGB.png"/>
    <hyperlink ref="D2763" r:id="rId2762" display="https://us.pandora.net/on/demandware.static/-/Sites-pandora-master-catalog/default/dwbb259ca6/productimages/singlepackshot/752337C01_RGB.png"/>
    <hyperlink ref="D2764" r:id="rId2763" display="https://us.pandora.net/on/demandware.static/-/Sites-pandora-master-catalog/default/dwbb259ca6/productimages/singlepackshot/752604C01_RGB.png"/>
    <hyperlink ref="D2765" r:id="rId2764" display="https://us.pandora.net/on/demandware.static/-/Sites-pandora-master-catalog/default/dwbb259ca6/productimages/singlepackshot/752605C01_RGB.png"/>
    <hyperlink ref="D2766" r:id="rId2765" display="https://us.pandora.net/on/demandware.static/-/Sites-pandora-master-catalog/default/dwbb259ca6/productimages/singlepackshot/752636C01_RGB.png"/>
    <hyperlink ref="D2767" r:id="rId2766" display="https://us.pandora.net/on/demandware.static/-/Sites-pandora-master-catalog/default/dwbb259ca6/productimages/singlepackshot/760081C00_RGB.png"/>
    <hyperlink ref="D2768" r:id="rId2767" display="https://us.pandora.net/on/demandware.static/-/Sites-pandora-master-catalog/default/dwbb259ca6/productimages/singlepackshot/760088C01_RGB.png"/>
    <hyperlink ref="D2769" r:id="rId2768" display="https://us.pandora.net/on/demandware.static/-/Sites-pandora-master-catalog/default/dwbb259ca6/productimages/singlepackshot/760268C01_RGB.png"/>
    <hyperlink ref="D2770" r:id="rId2769" display="https://us.pandora.net/on/demandware.static/-/Sites-pandora-master-catalog/default/dwbb259ca6/productimages/singlepackshot/760667C01_RGB.png"/>
    <hyperlink ref="D2771" r:id="rId2770" display="https://us.pandora.net/on/demandware.static/-/Sites-pandora-master-catalog/default/dwbb259ca6/productimages/singlepackshot/760765C01_RGB.png"/>
    <hyperlink ref="D2772" r:id="rId2771" display="https://us.pandora.net/on/demandware.static/-/Sites-pandora-master-catalog/default/dwbb259ca6/productimages/singlepackshot/760964C00_RGB.png"/>
    <hyperlink ref="D2773" r:id="rId2772" display="https://us.pandora.net/on/demandware.static/-/Sites-pandora-master-catalog/default/dwbb259ca6/productimages/singlepackshot/761892C00_RGB.png"/>
    <hyperlink ref="D2774" r:id="rId2773" display="https://us.pandora.net/on/demandware.static/-/Sites-pandora-master-catalog/default/dwbb259ca6/productimages/singlepackshot/761972C01_RGB.png"/>
    <hyperlink ref="D2775" r:id="rId2774" display="https://us.pandora.net/on/demandware.static/-/Sites-pandora-master-catalog/default/dwbb259ca6/productimages/singlepackshot/762015C00_RGB.png"/>
    <hyperlink ref="D2776" r:id="rId2775" display="https://us.pandora.net/on/demandware.static/-/Sites-pandora-master-catalog/default/dwbb259ca6/productimages/singlepackshot/762201C01_RGB.png"/>
    <hyperlink ref="D2777" r:id="rId2776" display="https://us.pandora.net/on/demandware.static/-/Sites-pandora-master-catalog/default/dwbb259ca6/productimages/singlepackshot/762212C01_RGB.png"/>
    <hyperlink ref="D2778" r:id="rId2777" display="https://us.pandora.net/on/demandware.static/-/Sites-pandora-master-catalog/default/dwbb259ca6/productimages/singlepackshot/762470C01_RGB.png"/>
    <hyperlink ref="D2779" r:id="rId2778" display="https://us.pandora.net/on/demandware.static/-/Sites-pandora-master-catalog/default/dwbb259ca6/productimages/singlepackshot/762517C01_RGB.png"/>
    <hyperlink ref="D2780" r:id="rId2779" display="https://us.pandora.net/on/demandware.static/-/Sites-pandora-master-catalog/default/dwbb259ca6/productimages/singlepackshot/762526C00_RGB.png"/>
    <hyperlink ref="D2781" r:id="rId2780" display="https://us.pandora.net/on/demandware.static/-/Sites-pandora-master-catalog/default/dwbb259ca6/productimages/singlepackshot/762536C00_RGB.png"/>
    <hyperlink ref="D2782" r:id="rId2781" display="https://us.pandora.net/on/demandware.static/-/Sites-pandora-master-catalog/default/dwbb259ca6/productimages/singlepackshot/762606C01_RGB.png"/>
    <hyperlink ref="D2783" r:id="rId2782" display="https://us.pandora.net/on/demandware.static/-/Sites-pandora-master-catalog/default/dwbb259ca6/productimages/singlepackshot/762672C01_RGB.png"/>
    <hyperlink ref="D2784" r:id="rId2783" display="https://us.pandora.net/on/demandware.static/-/Sites-pandora-master-catalog/default/dwbb259ca6/productimages/singlepackshot/762676C01_RGB.png"/>
    <hyperlink ref="D2785" r:id="rId2784" display="https://us.pandora.net/on/demandware.static/-/Sites-pandora-master-catalog/default/dwbb259ca6/productimages/singlepackshot/762678C01_RGB.png"/>
    <hyperlink ref="D2786" r:id="rId2785" display="https://us.pandora.net/on/demandware.static/-/Sites-pandora-master-catalog/default/dwbb259ca6/productimages/singlepackshot/762685C01_RGB.png"/>
    <hyperlink ref="D2787" r:id="rId2786" display="https://us.pandora.net/on/demandware.static/-/Sites-pandora-master-catalog/default/dwbb259ca6/productimages/singlepackshot/762699C01_RGB.png"/>
    <hyperlink ref="D2788" r:id="rId2787" display="https://us.pandora.net/on/demandware.static/-/Sites-pandora-master-catalog/default/dwbb259ca6/productimages/singlepackshot/762707C01_RGB.png"/>
    <hyperlink ref="D2789" r:id="rId2788" display="https://us.pandora.net/on/demandware.static/-/Sites-pandora-master-catalog/default/dwbb259ca6/productimages/singlepackshot/762708C01_RGB.png"/>
    <hyperlink ref="D2790" r:id="rId2789" display="https://us.pandora.net/on/demandware.static/-/Sites-pandora-master-catalog/default/dwbb259ca6/productimages/singlepackshot/762710C01_RGB.png"/>
    <hyperlink ref="D2791" r:id="rId2790" display="https://us.pandora.net/on/demandware.static/-/Sites-pandora-master-catalog/default/dwbb259ca6/productimages/singlepackshot/762711C01_RGB.png"/>
    <hyperlink ref="D2792" r:id="rId2791" display="https://us.pandora.net/on/demandware.static/-/Sites-pandora-master-catalog/default/dwbb259ca6/productimages/singlepackshot/762712C01_RGB.png"/>
    <hyperlink ref="D2793" r:id="rId2792" display="https://us.pandora.net/on/demandware.static/-/Sites-pandora-master-catalog/default/dwbb259ca6/productimages/singlepackshot/762715C01_RGB.png"/>
    <hyperlink ref="D2794" r:id="rId2793" display="https://us.pandora.net/on/demandware.static/-/Sites-pandora-master-catalog/default/dwbb259ca6/productimages/singlepackshot/762716C00_RGB.png"/>
    <hyperlink ref="D2795" r:id="rId2794" display="https://us.pandora.net/on/demandware.static/-/Sites-pandora-master-catalog/default/dwbb259ca6/productimages/singlepackshot/762717C01_RGB.png"/>
    <hyperlink ref="D2796" r:id="rId2795" display="https://us.pandora.net/on/demandware.static/-/Sites-pandora-master-catalog/default/dwbb259ca6/productimages/singlepackshot/762719C01_RGB.png"/>
    <hyperlink ref="D2797" r:id="rId2796" display="https://us.pandora.net/on/demandware.static/-/Sites-pandora-master-catalog/default/dwbb259ca6/productimages/singlepackshot/762720C01_RGB.png"/>
    <hyperlink ref="D2798" r:id="rId2797" display="https://us.pandora.net/on/demandware.static/-/Sites-pandora-master-catalog/default/dwbb259ca6/productimages/singlepackshot/762722C00_RGB.png"/>
    <hyperlink ref="D2799" r:id="rId2798" display="https://us.pandora.net/on/demandware.static/-/Sites-pandora-master-catalog/default/dwbb259ca6/productimages/singlepackshot/762723C01_RGB.png"/>
    <hyperlink ref="D2800" r:id="rId2799" display="https://us.pandora.net/on/demandware.static/-/Sites-pandora-master-catalog/default/dwbb259ca6/productimages/singlepackshot/762724C01_RGB.png"/>
    <hyperlink ref="D2801" r:id="rId2800" display="https://us.pandora.net/on/demandware.static/-/Sites-pandora-master-catalog/default/dwbb259ca6/productimages/singlepackshot/762725C01_RGB.png"/>
    <hyperlink ref="D2802" r:id="rId2801" display="https://us.pandora.net/on/demandware.static/-/Sites-pandora-master-catalog/default/dwbb259ca6/productimages/singlepackshot/762751C01_RGB.png"/>
    <hyperlink ref="D2803" r:id="rId2802" display="https://us.pandora.net/on/demandware.static/-/Sites-pandora-master-catalog/default/dwbb259ca6/productimages/singlepackshot/762764C01_RGB.png"/>
    <hyperlink ref="D2804" r:id="rId2803" display="https://us.pandora.net/on/demandware.static/-/Sites-pandora-master-catalog/default/dwbb259ca6/productimages/singlepackshot/762820C01_RGB.png"/>
    <hyperlink ref="D2805" r:id="rId2804" display="https://us.pandora.net/on/demandware.static/-/Sites-pandora-master-catalog/default/dwbb259ca6/productimages/singlepackshot/762825C01_RGB.png"/>
    <hyperlink ref="D2806" r:id="rId2805" display="https://us.pandora.net/on/demandware.static/-/Sites-pandora-master-catalog/default/dwbb259ca6/productimages/singlepackshot/762985C01_RGB.png"/>
    <hyperlink ref="D2807" r:id="rId2806" display="https://us.pandora.net/on/demandware.static/-/Sites-pandora-master-catalog/default/dwbb259ca6/productimages/singlepackshot/763033C00_RGB.png"/>
    <hyperlink ref="D2808" r:id="rId2807" display="https://us.pandora.net/on/demandware.static/-/Sites-pandora-master-catalog/default/dwbb259ca6/productimages/singlepackshot/763034C01_RGB.png"/>
    <hyperlink ref="D2809" r:id="rId2808" display="https://us.pandora.net/on/demandware.static/-/Sites-pandora-master-catalog/default/dwbb259ca6/productimages/singlepackshot/763035C01_RGB.png"/>
    <hyperlink ref="D2810" r:id="rId2809" display="https://us.pandora.net/on/demandware.static/-/Sites-pandora-master-catalog/default/dwbb259ca6/productimages/singlepackshot/763042C01_RGB.png"/>
    <hyperlink ref="D2811" r:id="rId2810" display="https://us.pandora.net/on/demandware.static/-/Sites-pandora-master-catalog/default/dwbb259ca6/productimages/singlepackshot/763044C01_RGB.png"/>
    <hyperlink ref="D2812" r:id="rId2811" display="https://us.pandora.net/on/demandware.static/-/Sites-pandora-master-catalog/default/dwbb259ca6/productimages/singlepackshot/763055C00_RGB.png"/>
    <hyperlink ref="D2813" r:id="rId2812" display="https://us.pandora.net/on/demandware.static/-/Sites-pandora-master-catalog/default/dwbb259ca6/productimages/singlepackshot/763066C01_RGB.png"/>
    <hyperlink ref="D2814" r:id="rId2813" display="https://us.pandora.net/on/demandware.static/-/Sites-pandora-master-catalog/default/dwbb259ca6/productimages/singlepackshot/763072C01_RGB.png"/>
    <hyperlink ref="D2815" r:id="rId2814" display="https://us.pandora.net/on/demandware.static/-/Sites-pandora-master-catalog/default/dwbb259ca6/productimages/singlepackshot/763234C01_RGB.png"/>
    <hyperlink ref="D2816" r:id="rId2815" display="https://us.pandora.net/on/demandware.static/-/Sites-pandora-master-catalog/default/dwbb259ca6/productimages/singlepackshot/763237C01_RGB.png"/>
    <hyperlink ref="D2817" r:id="rId2816" display="https://us.pandora.net/on/demandware.static/-/Sites-pandora-master-catalog/default/dwbb259ca6/productimages/singlepackshot/763243C00_RGB.png"/>
    <hyperlink ref="D2818" r:id="rId2817" display="https://us.pandora.net/on/demandware.static/-/Sites-pandora-master-catalog/default/dwbb259ca6/productimages/singlepackshot/763330C01_RGB.png"/>
    <hyperlink ref="D2819" r:id="rId2818" display="https://us.pandora.net/on/demandware.static/-/Sites-pandora-master-catalog/default/dwbb259ca6/productimages/singlepackshot/763348C01_RGB.png"/>
    <hyperlink ref="D2820" r:id="rId2819" display="https://us.pandora.net/on/demandware.static/-/Sites-pandora-master-catalog/default/dwbb259ca6/productimages/singlepackshot/763349C01_RGB.png"/>
    <hyperlink ref="D2821" r:id="rId2820" display="https://us.pandora.net/on/demandware.static/-/Sites-pandora-master-catalog/default/dwbb259ca6/productimages/singlepackshot/763354C01_RGB.png"/>
    <hyperlink ref="D2822" r:id="rId2821" display="https://us.pandora.net/on/demandware.static/-/Sites-pandora-master-catalog/default/dwbb259ca6/productimages/singlepackshot/763366C01_RGB.png"/>
    <hyperlink ref="D2823" r:id="rId2822" display="https://us.pandora.net/on/demandware.static/-/Sites-pandora-master-catalog/default/dwbb259ca6/productimages/singlepackshot/763368C01_RGB.png"/>
    <hyperlink ref="D2824" r:id="rId2823" display="https://us.pandora.net/on/demandware.static/-/Sites-pandora-master-catalog/default/dwbb259ca6/productimages/singlepackshot/763369C01_RGB.png"/>
    <hyperlink ref="D2825" r:id="rId2824" display="https://us.pandora.net/on/demandware.static/-/Sites-pandora-master-catalog/default/dwbb259ca6/productimages/singlepackshot/763373C01_RGB.png"/>
    <hyperlink ref="D2826" r:id="rId2825" display="https://us.pandora.net/on/demandware.static/-/Sites-pandora-master-catalog/default/dwbb259ca6/productimages/singlepackshot/763375C01_RGB.png"/>
    <hyperlink ref="D2827" r:id="rId2826" display="https://us.pandora.net/on/demandware.static/-/Sites-pandora-master-catalog/default/dwbb259ca6/productimages/singlepackshot/763376C01_RGB.png"/>
    <hyperlink ref="D2828" r:id="rId2827" display="https://us.pandora.net/on/demandware.static/-/Sites-pandora-master-catalog/default/dwbb259ca6/productimages/singlepackshot/763388C01_RGB.png"/>
    <hyperlink ref="D2829" r:id="rId2828" display="https://us.pandora.net/on/demandware.static/-/Sites-pandora-master-catalog/default/dwbb259ca6/productimages/singlepackshot/763389C01_RGB.png"/>
    <hyperlink ref="D2830" r:id="rId2829" display="https://us.pandora.net/on/demandware.static/-/Sites-pandora-master-catalog/default/dwbb259ca6/productimages/singlepackshot/763405C01_RGB.png"/>
    <hyperlink ref="D2831" r:id="rId2830" display="https://us.pandora.net/on/demandware.static/-/Sites-pandora-master-catalog/default/dwbb259ca6/productimages/singlepackshot/763413C01_RGB.png"/>
    <hyperlink ref="D2832" r:id="rId2831" display="https://us.pandora.net/on/demandware.static/-/Sites-pandora-master-catalog/default/dwbb259ca6/productimages/singlepackshot/763417C01_RGB.png"/>
    <hyperlink ref="D2833" r:id="rId2832" display="https://us.pandora.net/on/demandware.static/-/Sites-pandora-master-catalog/default/dwbb259ca6/productimages/singlepackshot/763421C01_RGB.png"/>
    <hyperlink ref="D2834" r:id="rId2833" display="https://us.pandora.net/on/demandware.static/-/Sites-pandora-master-catalog/default/dwbb259ca6/productimages/singlepackshot/763435C00_RGB.png"/>
    <hyperlink ref="D2835" r:id="rId2834" display="https://us.pandora.net/on/demandware.static/-/Sites-pandora-master-catalog/default/dwbb259ca6/productimages/singlepackshot/763436C01_RGB.png"/>
    <hyperlink ref="D2836" r:id="rId2835" display="https://us.pandora.net/on/demandware.static/-/Sites-pandora-master-catalog/default/dwbb259ca6/productimages/singlepackshot/763439C00_RGB.png"/>
    <hyperlink ref="D2837" r:id="rId2836" display="https://us.pandora.net/on/demandware.static/-/Sites-pandora-master-catalog/default/dwbb259ca6/productimages/singlepackshot/763442C01_RGB.png"/>
    <hyperlink ref="D2838" r:id="rId2837" display="https://us.pandora.net/on/demandware.static/-/Sites-pandora-master-catalog/default/dwbb259ca6/productimages/singlepackshot/763453C01_RGB.png"/>
    <hyperlink ref="D2839" r:id="rId2838" display="https://us.pandora.net/on/demandware.static/-/Sites-pandora-master-catalog/default/dwbb259ca6/productimages/singlepackshot/763462C01_RGB.png"/>
    <hyperlink ref="D2840" r:id="rId2839" display="https://us.pandora.net/on/demandware.static/-/Sites-pandora-master-catalog/default/dwbb259ca6/productimages/singlepackshot/763462C03_RGB.png"/>
    <hyperlink ref="D2841" r:id="rId2840" display="https://us.pandora.net/on/demandware.static/-/Sites-pandora-master-catalog/default/dwbb259ca6/productimages/singlepackshot/763462C05_RGB.png"/>
    <hyperlink ref="D2842" r:id="rId2841" display="https://us.pandora.net/on/demandware.static/-/Sites-pandora-master-catalog/default/dwbb259ca6/productimages/singlepackshot/763462C06_RGB.png"/>
    <hyperlink ref="D2843" r:id="rId2842" display="https://us.pandora.net/on/demandware.static/-/Sites-pandora-master-catalog/default/dwbb259ca6/productimages/singlepackshot/763462C09_RGB.png"/>
    <hyperlink ref="D2844" r:id="rId2843" display="https://us.pandora.net/on/demandware.static/-/Sites-pandora-master-catalog/default/dwbb259ca6/productimages/singlepackshot/763462C10_RGB.png"/>
    <hyperlink ref="D2845" r:id="rId2844" display="https://us.pandora.net/on/demandware.static/-/Sites-pandora-master-catalog/default/dwbb259ca6/productimages/singlepackshot/763512C01_RGB.png"/>
    <hyperlink ref="D2846" r:id="rId2845" display="https://us.pandora.net/on/demandware.static/-/Sites-pandora-master-catalog/default/dwbb259ca6/productimages/singlepackshot/763513C00_RGB.png"/>
    <hyperlink ref="D2847" r:id="rId2846" display="https://us.pandora.net/on/demandware.static/-/Sites-pandora-master-catalog/default/dwbb259ca6/productimages/singlepackshot/763515C01_RGB.png"/>
    <hyperlink ref="D2848" r:id="rId2847" display="https://us.pandora.net/on/demandware.static/-/Sites-pandora-master-catalog/default/dwbb259ca6/productimages/singlepackshot/763583C01_RGB.png"/>
    <hyperlink ref="D2849" r:id="rId2848" display="https://us.pandora.net/on/demandware.static/-/Sites-pandora-master-catalog/default/dwbb259ca6/productimages/singlepackshot/763585C01_RGB.png"/>
    <hyperlink ref="D2850" r:id="rId2849" display="https://us.pandora.net/on/demandware.static/-/Sites-pandora-master-catalog/default/dwbb259ca6/productimages/singlepackshot/763588C01_RGB.png"/>
    <hyperlink ref="D2851" r:id="rId2850" display="https://us.pandora.net/on/demandware.static/-/Sites-pandora-master-catalog/default/dwbb259ca6/productimages/singlepackshot/763590C01_RGB.png"/>
    <hyperlink ref="D2852" r:id="rId2851" display="https://us.pandora.net/on/demandware.static/-/Sites-pandora-master-catalog/default/dwbb259ca6/productimages/singlepackshot/763601C00_RGB.png"/>
    <hyperlink ref="D2853" r:id="rId2852" display="https://us.pandora.net/on/demandware.static/-/Sites-pandora-master-catalog/default/dwbb259ca6/productimages/singlepackshot/763602C00_RGB.png"/>
    <hyperlink ref="D2854" r:id="rId2853" display="https://us.pandora.net/on/demandware.static/-/Sites-pandora-master-catalog/default/dwbb259ca6/productimages/singlepackshot/763604C01_RGB.png"/>
    <hyperlink ref="D2855" r:id="rId2854" display="https://us.pandora.net/on/demandware.static/-/Sites-pandora-master-catalog/default/dwbb259ca6/productimages/singlepackshot/763608C01_RGB.png"/>
    <hyperlink ref="D2856" r:id="rId2855" display="https://us.pandora.net/on/demandware.static/-/Sites-pandora-master-catalog/default/dwbb259ca6/productimages/singlepackshot/763617C01_RGB.png"/>
    <hyperlink ref="D2857" r:id="rId2856" display="https://us.pandora.net/on/demandware.static/-/Sites-pandora-master-catalog/default/dwbb259ca6/productimages/singlepackshot/763618C01_RGB.png"/>
    <hyperlink ref="D2858" r:id="rId2857" display="https://us.pandora.net/on/demandware.static/-/Sites-pandora-master-catalog/default/dwbb259ca6/productimages/singlepackshot/763622C01_RGB.png"/>
    <hyperlink ref="D2859" r:id="rId2858" display="https://us.pandora.net/on/demandware.static/-/Sites-pandora-master-catalog/default/dwbb259ca6/productimages/singlepackshot/763624C01_RGB.png"/>
    <hyperlink ref="D2860" r:id="rId2859" display="https://us.pandora.net/on/demandware.static/-/Sites-pandora-master-catalog/default/dwbb259ca6/productimages/singlepackshot/763650C01_RGB.png"/>
    <hyperlink ref="D2861" r:id="rId2860" display="https://us.pandora.net/on/demandware.static/-/Sites-pandora-master-catalog/default/dwbb259ca6/productimages/singlepackshot/763663C00_RGB.png"/>
    <hyperlink ref="D2862" r:id="rId2861" display="https://us.pandora.net/on/demandware.static/-/Sites-pandora-master-catalog/default/dwbb259ca6/productimages/singlepackshot/763666C00_RGB.png"/>
    <hyperlink ref="D2863" r:id="rId2862" display="https://us.pandora.net/on/demandware.static/-/Sites-pandora-master-catalog/default/dwbb259ca6/productimages/singlepackshot/763678C00_RGB.png"/>
    <hyperlink ref="D2864" r:id="rId2863" display="https://us.pandora.net/on/demandware.static/-/Sites-pandora-master-catalog/default/dwbb259ca6/productimages/singlepackshot/763691C00_RGB.png"/>
    <hyperlink ref="D2865" r:id="rId2864" display="https://us.pandora.net/on/demandware.static/-/Sites-pandora-master-catalog/default/dwbb259ca6/productimages/singlepackshot/763709C01_RGB.png"/>
    <hyperlink ref="D2866" r:id="rId2865" display="https://us.pandora.net/on/demandware.static/-/Sites-pandora-master-catalog/default/dwbb259ca6/productimages/singlepackshot/763711C01_RGB.png"/>
    <hyperlink ref="D2867" r:id="rId2866" display="https://us.pandora.net/on/demandware.static/-/Sites-pandora-master-catalog/default/dwbb259ca6/productimages/singlepackshot/763755C00_RGB.png"/>
    <hyperlink ref="D2868" r:id="rId2867" display="https://us.pandora.net/on/demandware.static/-/Sites-pandora-master-catalog/default/dwbb259ca6/productimages/singlepackshot/763765C01_RGB.png"/>
    <hyperlink ref="D2869" r:id="rId2868" display="https://us.pandora.net/on/demandware.static/-/Sites-pandora-master-catalog/default/dwbb259ca6/productimages/singlepackshot/763781C01_RGB.png"/>
    <hyperlink ref="D2870" r:id="rId2869" display="https://us.pandora.net/on/demandware.static/-/Sites-pandora-master-catalog/default/dwbb259ca6/productimages/singlepackshot/763784C01_RGB.png"/>
    <hyperlink ref="D2871" r:id="rId2870" display="https://us.pandora.net/on/demandware.static/-/Sites-pandora-master-catalog/default/dwbb259ca6/productimages/singlepackshot/763785C01_RGB.png"/>
    <hyperlink ref="D2872" r:id="rId2871" display="https://us.pandora.net/on/demandware.static/-/Sites-pandora-master-catalog/default/dwbb259ca6/productimages/singlepackshot/763787C01_RGB.png"/>
    <hyperlink ref="D2873" r:id="rId2872" display="https://us.pandora.net/on/demandware.static/-/Sites-pandora-master-catalog/default/dwbb259ca6/productimages/singlepackshot/763818C01_RGB.png"/>
    <hyperlink ref="D2874" r:id="rId2873" display="https://us.pandora.net/on/demandware.static/-/Sites-pandora-master-catalog/default/dwbb259ca6/productimages/singlepackshot/763823C01_RGB.png"/>
    <hyperlink ref="D2875" r:id="rId2874" display="https://us.pandora.net/on/demandware.static/-/Sites-pandora-master-catalog/default/dwbb259ca6/productimages/singlepackshot/763824C00_RGB.png"/>
    <hyperlink ref="D2876" r:id="rId2875" display="https://us.pandora.net/on/demandware.static/-/Sites-pandora-master-catalog/default/dwbb259ca6/productimages/singlepackshot/763825C01_RGB.png"/>
    <hyperlink ref="D2877" r:id="rId2876" display="https://us.pandora.net/on/demandware.static/-/Sites-pandora-master-catalog/default/dwbb259ca6/productimages/singlepackshot/763826C01_RGB.png"/>
    <hyperlink ref="D2878" r:id="rId2877" display="https://us.pandora.net/on/demandware.static/-/Sites-pandora-master-catalog/default/dwbb259ca6/productimages/singlepackshot/763859C01_RGB.png"/>
    <hyperlink ref="D2879" r:id="rId2878" display="https://us.pandora.net/on/demandware.static/-/Sites-pandora-master-catalog/default/dwbb259ca6/productimages/singlepackshot/763862C01_RGB.png"/>
    <hyperlink ref="D2880" r:id="rId2879" display="https://us.pandora.net/on/demandware.static/-/Sites-pandora-master-catalog/default/dwbb259ca6/productimages/singlepackshot/763891C01_RGB.png"/>
    <hyperlink ref="D2881" r:id="rId2880" display="https://us.pandora.net/on/demandware.static/-/Sites-pandora-master-catalog/default/dwbb259ca6/productimages/singlepackshot/763892C01_RGB.png"/>
    <hyperlink ref="D2882" r:id="rId2881" display="https://us.pandora.net/on/demandware.static/-/Sites-pandora-master-catalog/default/dwbb259ca6/productimages/singlepackshot/763895C01_RGB.png"/>
    <hyperlink ref="D2883" r:id="rId2882" display="https://us.pandora.net/on/demandware.static/-/Sites-pandora-master-catalog/default/dwbb259ca6/productimages/singlepackshot/763902C01_RGB.png"/>
    <hyperlink ref="D2884" r:id="rId2883" display="https://us.pandora.net/on/demandware.static/-/Sites-pandora-master-catalog/default/dwbb259ca6/productimages/singlepackshot/763904C00_RGB.png"/>
    <hyperlink ref="D2885" r:id="rId2884" display="https://us.pandora.net/on/demandware.static/-/Sites-pandora-master-catalog/default/dwbb259ca6/productimages/singlepackshot/763915C01_RGB.png"/>
    <hyperlink ref="D2886" r:id="rId2885" display="https://us.pandora.net/on/demandware.static/-/Sites-pandora-master-catalog/default/dwbb259ca6/productimages/singlepackshot/763926C01_E002_RGB.png"/>
    <hyperlink ref="D2887" r:id="rId2886" display="https://us.pandora.net/on/demandware.static/-/Sites-pandora-master-catalog/default/dwbb259ca6/productimages/singlepackshot/763947C00_RGB.png"/>
    <hyperlink ref="D2888" r:id="rId2887" display="https://us.pandora.net/on/demandware.static/-/Sites-pandora-master-catalog/default/dwbb259ca6/productimages/singlepackshot/763948C00_RGB.png"/>
    <hyperlink ref="D2889" r:id="rId2888" display="https://us.pandora.net/on/demandware.static/-/Sites-pandora-master-catalog/default/dwbb259ca6/productimages/singlepackshot/763949C00_RGB.png"/>
    <hyperlink ref="D2890" r:id="rId2889" display="https://us.pandora.net/on/demandware.static/-/Sites-pandora-master-catalog/default/dwbb259ca6/productimages/singlepackshot/763950C00_RGB.png"/>
    <hyperlink ref="D2891" r:id="rId2890" display="https://us.pandora.net/on/demandware.static/-/Sites-pandora-master-catalog/default/dwbb259ca6/productimages/singlepackshot/763951C00_RGB.png"/>
    <hyperlink ref="D2892" r:id="rId2891" display="https://us.pandora.net/on/demandware.static/-/Sites-pandora-master-catalog/default/dwbb259ca6/productimages/singlepackshot/763952C00_RGB.png"/>
    <hyperlink ref="D2893" r:id="rId2892" display="https://us.pandora.net/on/demandware.static/-/Sites-pandora-master-catalog/default/dwbb259ca6/productimages/singlepackshot/763953C00_RGB.png"/>
    <hyperlink ref="D2894" r:id="rId2893" display="https://us.pandora.net/on/demandware.static/-/Sites-pandora-master-catalog/default/dwbb259ca6/productimages/singlepackshot/763954C00_RGB.png"/>
    <hyperlink ref="D2895" r:id="rId2894" display="https://us.pandora.net/on/demandware.static/-/Sites-pandora-master-catalog/default/dwbb259ca6/productimages/singlepackshot/763955C00_RGB.png"/>
    <hyperlink ref="D2896" r:id="rId2895" display="https://us.pandora.net/on/demandware.static/-/Sites-pandora-master-catalog/default/dwbb259ca6/productimages/singlepackshot/763956C00_RGB.png"/>
    <hyperlink ref="D2897" r:id="rId2896" display="https://us.pandora.net/on/demandware.static/-/Sites-pandora-master-catalog/default/dwbb259ca6/productimages/singlepackshot/763957C00_RGB.png"/>
    <hyperlink ref="D2898" r:id="rId2897" display="https://us.pandora.net/on/demandware.static/-/Sites-pandora-master-catalog/default/dwbb259ca6/productimages/singlepackshot/763958C00_RGB.png"/>
    <hyperlink ref="D2899" r:id="rId2898" display="https://us.pandora.net/on/demandware.static/-/Sites-pandora-master-catalog/default/dwbb259ca6/productimages/singlepackshot/763959C00_RGB.png"/>
    <hyperlink ref="D2900" r:id="rId2899" display="https://us.pandora.net/on/demandware.static/-/Sites-pandora-master-catalog/default/dwbb259ca6/productimages/singlepackshot/763960C00_RGB.png"/>
    <hyperlink ref="D2901" r:id="rId2900" display="https://us.pandora.net/on/demandware.static/-/Sites-pandora-master-catalog/default/dwbb259ca6/productimages/singlepackshot/763961C00_RGB.png"/>
    <hyperlink ref="D2902" r:id="rId2901" display="https://us.pandora.net/on/demandware.static/-/Sites-pandora-master-catalog/default/dwbb259ca6/productimages/singlepackshot/763962C00_RGB.png"/>
    <hyperlink ref="D2903" r:id="rId2902" display="https://us.pandora.net/on/demandware.static/-/Sites-pandora-master-catalog/default/dwbb259ca6/productimages/singlepackshot/763963C00_RGB.png"/>
    <hyperlink ref="D2904" r:id="rId2903" display="https://us.pandora.net/on/demandware.static/-/Sites-pandora-master-catalog/default/dwbb259ca6/productimages/singlepackshot/763964C00_RGB.png"/>
    <hyperlink ref="D2905" r:id="rId2904" display="https://us.pandora.net/on/demandware.static/-/Sites-pandora-master-catalog/default/dwbb259ca6/productimages/singlepackshot/763965C00_RGB.png"/>
    <hyperlink ref="D2906" r:id="rId2905" display="https://us.pandora.net/on/demandware.static/-/Sites-pandora-master-catalog/default/dwbb259ca6/productimages/singlepackshot/763966C00_RGB.png"/>
    <hyperlink ref="D2907" r:id="rId2906" display="https://us.pandora.net/on/demandware.static/-/Sites-pandora-master-catalog/default/dwbb259ca6/productimages/singlepackshot/763967C00_RGB.png"/>
    <hyperlink ref="D2908" r:id="rId2907" display="https://us.pandora.net/on/demandware.static/-/Sites-pandora-master-catalog/default/dwbb259ca6/productimages/singlepackshot/763968C00_RGB.png"/>
    <hyperlink ref="D2909" r:id="rId2908" display="https://us.pandora.net/on/demandware.static/-/Sites-pandora-master-catalog/default/dwbb259ca6/productimages/singlepackshot/763969C00_RGB.png"/>
    <hyperlink ref="D2910" r:id="rId2909" display="https://us.pandora.net/on/demandware.static/-/Sites-pandora-master-catalog/default/dwbb259ca6/productimages/singlepackshot/763970C00_RGB.png"/>
    <hyperlink ref="D2911" r:id="rId2910" display="https://us.pandora.net/on/demandware.static/-/Sites-pandora-master-catalog/default/dwbb259ca6/productimages/singlepackshot/763971C00_RGB.png"/>
    <hyperlink ref="D2912" r:id="rId2911" display="https://us.pandora.net/on/demandware.static/-/Sites-pandora-master-catalog/default/dwbb259ca6/productimages/singlepackshot/763972C00_RGB.png"/>
    <hyperlink ref="D2913" r:id="rId2912" display="https://us.pandora.net/on/demandware.static/-/Sites-pandora-master-catalog/default/dwbb259ca6/productimages/singlepackshot/763974C01_RGB.png"/>
    <hyperlink ref="D2914" r:id="rId2913" display="https://us.pandora.net/on/demandware.static/-/Sites-pandora-master-catalog/default/dwbb259ca6/productimages/singlepackshot/763985C01_RGB.png"/>
    <hyperlink ref="D2915" r:id="rId2914" display="https://us.pandora.net/on/demandware.static/-/Sites-pandora-master-catalog/default/dwbb259ca6/productimages/singlepackshot/763998C00_RGB.png"/>
    <hyperlink ref="D2916" r:id="rId2915" display="https://us.pandora.net/on/demandware.static/-/Sites-pandora-master-catalog/default/dwbb259ca6/productimages/singlepackshot/764000C00_RGB.png"/>
    <hyperlink ref="D2917" r:id="rId2916" display="https://us.pandora.net/on/demandware.static/-/Sites-pandora-master-catalog/default/dwbb259ca6/productimages/singlepackshot/764018C01_RGB.png"/>
    <hyperlink ref="D2918" r:id="rId2917" display="https://us.pandora.net/on/demandware.static/-/Sites-pandora-master-catalog/default/dwbb259ca6/productimages/singlepackshot/764020C01_RGB.png"/>
    <hyperlink ref="D2919" r:id="rId2918" display="https://us.pandora.net/on/demandware.static/-/Sites-pandora-master-catalog/default/dwbb259ca6/productimages/singlepackshot/764023C01_RGB.png"/>
    <hyperlink ref="D2920" r:id="rId2919" display="https://us.pandora.net/on/demandware.static/-/Sites-pandora-master-catalog/default/dwbb259ca6/productimages/singlepackshot/764042C00_RGB.png"/>
    <hyperlink ref="D2921" r:id="rId2920" display="https://us.pandora.net/on/demandware.static/-/Sites-pandora-master-catalog/default/dwbb259ca6/productimages/singlepackshot/764045C00_RGB.png"/>
    <hyperlink ref="D2922" r:id="rId2921" display="https://us.pandora.net/on/demandware.static/-/Sites-pandora-master-catalog/default/dwbb259ca6/productimages/singlepackshot/764046C00_RGB.png"/>
    <hyperlink ref="D2923" r:id="rId2922" display="https://us.pandora.net/on/demandware.static/-/Sites-pandora-master-catalog/default/dwbb259ca6/productimages/singlepackshot/764047C00_RGB.png"/>
    <hyperlink ref="D2924" r:id="rId2923" display="https://us.pandora.net/on/demandware.static/-/Sites-pandora-master-catalog/default/dwbb259ca6/productimages/singlepackshot/764048C00_RGB.png"/>
    <hyperlink ref="D2925" r:id="rId2924" display="https://us.pandora.net/on/demandware.static/-/Sites-pandora-master-catalog/default/dwbb259ca6/productimages/singlepackshot/764050C00_RGB.png"/>
    <hyperlink ref="D2926" r:id="rId2925" display="https://us.pandora.net/on/demandware.static/-/Sites-pandora-master-catalog/default/dwbb259ca6/productimages/singlepackshot/764052C00_RGB.png"/>
    <hyperlink ref="D2927" r:id="rId2926" display="https://us.pandora.net/on/demandware.static/-/Sites-pandora-master-catalog/default/dwbb259ca6/productimages/singlepackshot/764057C00_RGB.png"/>
    <hyperlink ref="D2928" r:id="rId2927" display="https://us.pandora.net/on/demandware.static/-/Sites-pandora-master-catalog/default/dwbb259ca6/productimages/singlepackshot/764063C01_RGB.png"/>
    <hyperlink ref="D2929" r:id="rId2928" display="https://us.pandora.net/on/demandware.static/-/Sites-pandora-master-catalog/default/dwbb259ca6/productimages/singlepackshot/764078C01_RGB.png"/>
    <hyperlink ref="D2930" r:id="rId2929" display="https://us.pandora.net/on/demandware.static/-/Sites-pandora-master-catalog/default/dwbb259ca6/productimages/singlepackshot/764081C01_RGB.png"/>
    <hyperlink ref="D2931" r:id="rId2930" display="https://us.pandora.net/on/demandware.static/-/Sites-pandora-master-catalog/default/dwbb259ca6/productimages/singlepackshot/764082C01_RGB.png"/>
    <hyperlink ref="D2932" r:id="rId2931" display="https://us.pandora.net/on/demandware.static/-/Sites-pandora-master-catalog/default/dwbb259ca6/productimages/singlepackshot/764084C01_RGB.png"/>
    <hyperlink ref="D2933" r:id="rId2932" display="https://us.pandora.net/on/demandware.static/-/Sites-pandora-master-catalog/default/dwbb259ca6/productimages/singlepackshot/764087C00_RGB.png"/>
    <hyperlink ref="D2934" r:id="rId2933" display="https://us.pandora.net/on/demandware.static/-/Sites-pandora-master-catalog/default/dwbb259ca6/productimages/singlepackshot/764088C01_RGB.png"/>
    <hyperlink ref="D2935" r:id="rId2934" display="https://us.pandora.net/on/demandware.static/-/Sites-pandora-master-catalog/default/dwbb259ca6/productimages/singlepackshot/764090C01_RGB.png"/>
    <hyperlink ref="D2936" r:id="rId2935" display="https://us.pandora.net/on/demandware.static/-/Sites-pandora-master-catalog/default/dwbb259ca6/productimages/singlepackshot/764130C01_RGB.png"/>
    <hyperlink ref="D2937" r:id="rId2936" display="https://us.pandora.net/on/demandware.static/-/Sites-pandora-master-catalog/default/dwbb259ca6/productimages/singlepackshot/764138C01_RGB.png"/>
    <hyperlink ref="D2938" r:id="rId2937" display="https://us.pandora.net/on/demandware.static/-/Sites-pandora-master-catalog/default/dwbb259ca6/productimages/singlepackshot/764141C01_RGB.png"/>
    <hyperlink ref="D2939" r:id="rId2938" display="https://us.pandora.net/on/demandware.static/-/Sites-pandora-master-catalog/default/dwbb259ca6/productimages/singlepackshot/764145C00_RGB.png"/>
    <hyperlink ref="D2940" r:id="rId2939" display="https://us.pandora.net/on/demandware.static/-/Sites-pandora-master-catalog/default/dwbb259ca6/productimages/singlepackshot/764207C01_RGB.png"/>
    <hyperlink ref="D2941" r:id="rId2940" display="https://us.pandora.net/on/demandware.static/-/Sites-pandora-master-catalog/default/dwbb259ca6/productimages/singlepackshot/764213C01_RGB.png"/>
    <hyperlink ref="D2942" r:id="rId2941" display="https://us.pandora.net/on/demandware.static/-/Sites-pandora-master-catalog/default/dwbb259ca6/productimages/singlepackshot/764215C00_RGB.png"/>
    <hyperlink ref="D2943" r:id="rId2942" display="https://us.pandora.net/on/demandware.static/-/Sites-pandora-master-catalog/default/dwbb259ca6/productimages/singlepackshot/764216C01_RGB.png"/>
    <hyperlink ref="D2944" r:id="rId2943" display="https://us.pandora.net/on/demandware.static/-/Sites-pandora-master-catalog/default/dwbb259ca6/productimages/singlepackshot/764240C01_RGB.png"/>
    <hyperlink ref="D2945" r:id="rId2944" display="https://us.pandora.net/on/demandware.static/-/Sites-pandora-master-catalog/default/dwbb259ca6/productimages/singlepackshot/764248C01_RGB.png"/>
    <hyperlink ref="D2946" r:id="rId2945" display="https://us.pandora.net/on/demandware.static/-/Sites-pandora-master-catalog/default/dwbb259ca6/productimages/singlepackshot/764275C01_RGB.png"/>
    <hyperlink ref="D2947" r:id="rId2946" display="https://us.pandora.net/on/demandware.static/-/Sites-pandora-master-catalog/default/dwbb259ca6/productimages/singlepackshot/767516C00_RGB.png"/>
    <hyperlink ref="D2948" r:id="rId2947" display="https://us.pandora.net/on/demandware.static/-/Sites-pandora-master-catalog/default/dwbb259ca6/productimages/singlepackshot/768009C01_RGB.png"/>
    <hyperlink ref="D2949" r:id="rId2948" display="https://us.pandora.net/on/demandware.static/-/Sites-pandora-master-catalog/default/dwbb259ca6/productimages/singlepackshot/768035C00_RGB.png"/>
    <hyperlink ref="D2950" r:id="rId2949" display="https://us.pandora.net/on/demandware.static/-/Sites-pandora-master-catalog/default/dwbb259ca6/productimages/singlepackshot/768642C01_RGB.png"/>
    <hyperlink ref="D2951" r:id="rId2950" display="https://us.pandora.net/on/demandware.static/-/Sites-pandora-master-catalog/default/dwbb259ca6/productimages/singlepackshot/768658C01_RGB.png"/>
    <hyperlink ref="D2952" r:id="rId2951" display="https://us.pandora.net/on/demandware.static/-/Sites-pandora-master-catalog/default/dwbb259ca6/productimages/singlepackshot/768661C01_RGB.png"/>
    <hyperlink ref="D2953" r:id="rId2952" display="https://us.pandora.net/on/demandware.static/-/Sites-pandora-master-catalog/default/dwbb259ca6/productimages/singlepackshot/768747C01_RGB.png"/>
    <hyperlink ref="D2954" r:id="rId2953" display="https://us.pandora.net/on/demandware.static/-/Sites-pandora-master-catalog/default/dwbb259ca6/productimages/singlepackshot/768761C01_RGB.png"/>
    <hyperlink ref="D2955" r:id="rId2954" display="https://us.pandora.net/on/demandware.static/-/Sites-pandora-master-catalog/default/dwbb259ca6/productimages/singlepackshot/768785C01_RGB.png"/>
    <hyperlink ref="D2956" r:id="rId2955" display="https://us.pandora.net/on/demandware.static/-/Sites-pandora-master-catalog/default/dwbb259ca6/productimages/singlepackshot/768869C00_RGB.png"/>
    <hyperlink ref="D2957" r:id="rId2956" display="https://us.pandora.net/on/demandware.static/-/Sites-pandora-master-catalog/default/dwbb259ca6/productimages/singlepackshot/768939C01_RGB.png"/>
    <hyperlink ref="D2958" r:id="rId2957" display="https://us.pandora.net/on/demandware.static/-/Sites-pandora-master-catalog/default/dwbb259ca6/productimages/singlepackshot/769144C00_RGB.png"/>
    <hyperlink ref="D2959" r:id="rId2958" display="https://us.pandora.net/on/demandware.static/-/Sites-pandora-master-catalog/default/dwbb259ca6/productimages/singlepackshot/769187C01_RGB.png"/>
    <hyperlink ref="D2960" r:id="rId2959" display="https://us.pandora.net/on/demandware.static/-/Sites-pandora-master-catalog/default/dwbb259ca6/productimages/singlepackshot/769270C01_RGB.png"/>
    <hyperlink ref="D2961" r:id="rId2960" display="https://us.pandora.net/on/demandware.static/-/Sites-pandora-master-catalog/default/dwbb259ca6/productimages/singlepackshot/769271C01_RGB.png"/>
    <hyperlink ref="D2962" r:id="rId2961" display="https://us.pandora.net/on/demandware.static/-/Sites-pandora-master-catalog/default/dwbb259ca6/productimages/singlepackshot/769352C01_RGB.png"/>
    <hyperlink ref="D2963" r:id="rId2962" display="https://us.pandora.net/on/demandware.static/-/Sites-pandora-master-catalog/default/dwbb259ca6/productimages/singlepackshot/769434C01_RGB.png"/>
    <hyperlink ref="D2964" r:id="rId2963" display="https://us.pandora.net/on/demandware.static/-/Sites-pandora-master-catalog/default/dwbb259ca6/productimages/singlepackshot/769435C01_RGB.png"/>
    <hyperlink ref="D2965" r:id="rId2964" display="https://us.pandora.net/on/demandware.static/-/Sites-pandora-master-catalog/default/dwbb259ca6/productimages/singlepackshot/769660C01_RGB.png"/>
    <hyperlink ref="D2966" r:id="rId2965" display="https://us.pandora.net/on/demandware.static/-/Sites-pandora-master-catalog/default/dwbb259ca6/productimages/singlepackshot/780087C01_RGB.png"/>
    <hyperlink ref="D2967" r:id="rId2966" display="https://us.pandora.net/on/demandware.static/-/Sites-pandora-master-catalog/default/dwbb259ca6/productimages/singlepackshot/780088C01_RGB.png"/>
    <hyperlink ref="D2968" r:id="rId2967" display="https://us.pandora.net/on/demandware.static/-/Sites-pandora-master-catalog/default/dwbb259ca6/productimages/singlepackshot/780112C01_RGB.png"/>
    <hyperlink ref="D2969" r:id="rId2968" display="https://us.pandora.net/on/demandware.static/-/Sites-pandora-master-catalog/default/dwbb259ca6/productimages/singlepackshot/780964_RGB.png"/>
    <hyperlink ref="D2970" r:id="rId2969" display="https://us.pandora.net/on/demandware.static/-/Sites-pandora-master-catalog/default/dwbb259ca6/productimages/singlepackshot/781142C01_RGB.png"/>
    <hyperlink ref="D2971" r:id="rId2970" display="https://us.pandora.net/on/demandware.static/-/Sites-pandora-master-catalog/default/dwbb259ca6/productimages/singlepackshot/781490C01_RGB.png"/>
    <hyperlink ref="D2972" r:id="rId2971" display="https://us.pandora.net/on/demandware.static/-/Sites-pandora-master-catalog/default/dwbb259ca6/productimages/singlepackshot/781682C01_RGB.png"/>
    <hyperlink ref="D2973" r:id="rId2972" display="https://us.pandora.net/on/demandware.static/-/Sites-pandora-master-catalog/default/dwbb259ca6/productimages/singlepackshot/781714C01_RGB.png"/>
    <hyperlink ref="D2974" r:id="rId2973" display="https://us.pandora.net/on/demandware.static/-/Sites-pandora-master-catalog/default/dwbb259ca6/productimages/singlepackshot/781728CZ_RGB.png"/>
    <hyperlink ref="D2975" r:id="rId2974" display="https://us.pandora.net/on/demandware.static/-/Sites-pandora-master-catalog/default/dwbb259ca6/productimages/singlepackshot/781817CZ_RGB.png"/>
    <hyperlink ref="D2976" r:id="rId2975" display="https://us.pandora.net/on/demandware.static/-/Sites-pandora-master-catalog/default/dwbb259ca6/productimages/singlepackshot/781817PCZ_RGB.png"/>
    <hyperlink ref="D2977" r:id="rId2976" display="https://us.pandora.net/on/demandware.static/-/Sites-pandora-master-catalog/default/dwbb259ca6/productimages/singlepackshot/781972CZ_RGB.png"/>
    <hyperlink ref="D2978" r:id="rId2977" display="https://us.pandora.net/on/demandware.static/-/Sites-pandora-master-catalog/default/dwbb259ca6/productimages/singlepackshot/782015C00_RGB.png"/>
    <hyperlink ref="D2979" r:id="rId2978" display="https://us.pandora.net/on/demandware.static/-/Sites-pandora-master-catalog/default/dwbb259ca6/productimages/singlepackshot/782208C01_RGB.png"/>
    <hyperlink ref="D2980" r:id="rId2979" display="https://us.pandora.net/on/demandware.static/-/Sites-pandora-master-catalog/default/dwbb259ca6/productimages/singlepackshot/782243C00_RGB.png"/>
    <hyperlink ref="D2981" r:id="rId2980" display="https://us.pandora.net/on/demandware.static/-/Sites-pandora-master-catalog/default/dwbb259ca6/productimages/singlepackshot/782244C00_RGB.png"/>
    <hyperlink ref="D2982" r:id="rId2981" display="https://us.pandora.net/on/demandware.static/-/Sites-pandora-master-catalog/default/dwbb259ca6/productimages/singlepackshot/782327C00_RGB.png"/>
    <hyperlink ref="D2983" r:id="rId2982" display="https://us.pandora.net/on/demandware.static/-/Sites-pandora-master-catalog/default/dwbb259ca6/productimages/singlepackshot/782506C01_RGB.png"/>
    <hyperlink ref="D2984" r:id="rId2983" display="https://us.pandora.net/on/demandware.static/-/Sites-pandora-master-catalog/default/dwbb259ca6/productimages/singlepackshot/782555C01_RGB.png"/>
    <hyperlink ref="D2985" r:id="rId2984" display="https://us.pandora.net/on/demandware.static/-/Sites-pandora-master-catalog/default/dwbb259ca6/productimages/singlepackshot/782615C01_RGB.png"/>
    <hyperlink ref="D2986" r:id="rId2985" display="https://us.pandora.net/on/demandware.static/-/Sites-pandora-master-catalog/default/dwbb259ca6/productimages/singlepackshot/782642C00_RGB.png"/>
    <hyperlink ref="D2987" r:id="rId2986" display="https://us.pandora.net/on/demandware.static/-/Sites-pandora-master-catalog/default/dwbb259ca6/productimages/singlepackshot/782698C01_RGB.png"/>
    <hyperlink ref="D2988" r:id="rId2987" display="https://us.pandora.net/on/demandware.static/-/Sites-pandora-master-catalog/default/dwbb259ca6/productimages/singlepackshot/782716C00_RGB.png"/>
    <hyperlink ref="D2989" r:id="rId2988" display="https://us.pandora.net/on/demandware.static/-/Sites-pandora-master-catalog/default/dwbb259ca6/productimages/singlepackshot/782816C01_RGB.png"/>
    <hyperlink ref="D2990" r:id="rId2989" display="https://us.pandora.net/on/demandware.static/-/Sites-pandora-master-catalog/default/dwbb259ca6/productimages/singlepackshot/782820C01_RGB.png"/>
    <hyperlink ref="D2991" r:id="rId2990" display="https://us.pandora.net/on/demandware.static/-/Sites-pandora-master-catalog/default/dwbb259ca6/productimages/singlepackshot/783042C01_RGB.png"/>
    <hyperlink ref="D2992" r:id="rId2991" display="https://us.pandora.net/on/demandware.static/-/Sites-pandora-master-catalog/default/dwbb259ca6/productimages/singlepackshot/783066C01_RGB.png"/>
    <hyperlink ref="D2993" r:id="rId2992" display="https://us.pandora.net/on/demandware.static/-/Sites-pandora-master-catalog/default/dwbb259ca6/productimages/singlepackshot/783079C01_RGB.png"/>
    <hyperlink ref="D2994" r:id="rId2993" display="https://us.pandora.net/on/demandware.static/-/Sites-pandora-master-catalog/default/dwbb259ca6/productimages/singlepackshot/783080C01_RGB.png"/>
    <hyperlink ref="D2995" r:id="rId2994" display="https://us.pandora.net/on/demandware.static/-/Sites-pandora-master-catalog/default/dwbb259ca6/productimages/singlepackshot/783242C01_RGB.png"/>
    <hyperlink ref="D2996" r:id="rId2995" display="https://us.pandora.net/on/demandware.static/-/Sites-pandora-master-catalog/default/dwbb259ca6/productimages/singlepackshot/783250C01_RGB.png"/>
    <hyperlink ref="D2997" r:id="rId2996" display="https://us.pandora.net/on/demandware.static/-/Sites-pandora-master-catalog/default/dwbb259ca6/productimages/singlepackshot/786322CZ_RGB.png"/>
    <hyperlink ref="D2998" r:id="rId2997" display="https://us.pandora.net/on/demandware.static/-/Sites-pandora-master-catalog/default/dwbb259ca6/productimages/singlepackshot/787247NLCMX_RGB.png"/>
    <hyperlink ref="D2999" r:id="rId2998" display="https://us.pandora.net/on/demandware.static/-/Sites-pandora-master-catalog/default/dwbb259ca6/productimages/singlepackshot/787516_RGB.png"/>
    <hyperlink ref="D3000" r:id="rId2999" display="https://us.pandora.net/on/demandware.static/-/Sites-pandora-master-catalog/default/dwbb259ca6/productimages/singlepackshot/787785CZ_RGB.png"/>
    <hyperlink ref="D3001" r:id="rId3000" display="https://us.pandora.net/on/demandware.static/-/Sites-pandora-master-catalog/default/dwbb259ca6/productimages/singlepackshot/788255_RGB.png"/>
    <hyperlink ref="D3002" r:id="rId3001" display="https://us.pandora.net/on/demandware.static/-/Sites-pandora-master-catalog/default/dwbb259ca6/productimages/singlepackshot/788313_RGB.png"/>
    <hyperlink ref="D3003" r:id="rId3002" display="https://us.pandora.net/on/demandware.static/-/Sites-pandora-master-catalog/default/dwbb259ca6/productimages/singlepackshot/788692C01_RGB.png"/>
    <hyperlink ref="D3004" r:id="rId3003" display="https://us.pandora.net/on/demandware.static/-/Sites-pandora-master-catalog/default/dwbb259ca6/productimages/singlepackshot/788747C01_RGB.png"/>
    <hyperlink ref="D3005" r:id="rId3004" display="https://us.pandora.net/on/demandware.static/-/Sites-pandora-master-catalog/default/dwbb259ca6/productimages/singlepackshot/788761C01_RGB.png"/>
    <hyperlink ref="D3006" r:id="rId3005" display="https://us.pandora.net/on/demandware.static/-/Sites-pandora-master-catalog/default/dwbb259ca6/productimages/singlepackshot/788771C01_RGB.png"/>
    <hyperlink ref="D3007" r:id="rId3006" display="https://us.pandora.net/on/demandware.static/-/Sites-pandora-master-catalog/default/dwbb259ca6/productimages/singlepackshot/788772C01_RGB.png"/>
    <hyperlink ref="D3008" r:id="rId3007" display="https://us.pandora.net/on/demandware.static/-/Sites-pandora-master-catalog/default/dwbb259ca6/productimages/singlepackshot/788809C01_RGB.png"/>
    <hyperlink ref="D3009" r:id="rId3008" display="https://us.pandora.net/on/demandware.static/-/Sites-pandora-master-catalog/default/dwbb259ca6/productimages/singlepackshot/788826C01_RGB.png"/>
    <hyperlink ref="D3010" r:id="rId3009" display="https://us.pandora.net/on/demandware.static/-/Sites-pandora-master-catalog/default/dwbb259ca6/productimages/singlepackshot/788830C00_RGB.png"/>
    <hyperlink ref="D3011" r:id="rId3010" display="https://us.pandora.net/on/demandware.static/-/Sites-pandora-master-catalog/default/dwbb259ca6/productimages/singlepackshot/788878C01_RGB.png"/>
    <hyperlink ref="D3012" r:id="rId3011" display="https://us.pandora.net/on/demandware.static/-/Sites-pandora-master-catalog/default/dwbb259ca6/productimages/singlepackshot/788942C01_RGB.png"/>
    <hyperlink ref="D3013" r:id="rId3012" display="https://us.pandora.net/on/demandware.static/-/Sites-pandora-master-catalog/default/dwbb259ca6/productimages/singlepackshot/789144C00_RGB.png"/>
    <hyperlink ref="D3014" r:id="rId3013" display="https://us.pandora.net/on/demandware.static/-/Sites-pandora-master-catalog/default/dwbb259ca6/productimages/singlepackshot/789218C01_RGB.png"/>
    <hyperlink ref="D3015" r:id="rId3014" display="https://us.pandora.net/on/demandware.static/-/Sites-pandora-master-catalog/default/dwbb259ca6/productimages/singlepackshot/789270C01_RGB.png"/>
    <hyperlink ref="D3016" r:id="rId3015" display="https://us.pandora.net/on/demandware.static/-/Sites-pandora-master-catalog/default/dwbb259ca6/productimages/singlepackshot/789372C00_RGB.png"/>
    <hyperlink ref="D3017" r:id="rId3016" display="https://us.pandora.net/on/demandware.static/-/Sites-pandora-master-catalog/default/dwbb259ca6/productimages/singlepackshot/789421C00_RGB.png"/>
    <hyperlink ref="D3018" r:id="rId3017" display="https://us.pandora.net/on/demandware.static/-/Sites-pandora-master-catalog/default/dwbb259ca6/productimages/singlepackshot/789434C01_RGB.png"/>
    <hyperlink ref="D3019" r:id="rId3018" display="https://us.pandora.net/on/demandware.static/-/Sites-pandora-master-catalog/default/dwbb259ca6/productimages/singlepackshot/789435C01_RGB.png"/>
    <hyperlink ref="D3020" r:id="rId3019" display="https://us.pandora.net/on/demandware.static/-/Sites-pandora-master-catalog/default/dwbb259ca6/productimages/singlepackshot/789541C01_RGB.png"/>
    <hyperlink ref="D3021" r:id="rId3020" display="https://us.pandora.net/on/demandware.static/-/Sites-pandora-master-catalog/default/dwbb259ca6/productimages/singlepackshot/789643C01_RGB.png"/>
    <hyperlink ref="D3022" r:id="rId3021" display="https://us.pandora.net/on/demandware.static/-/Sites-pandora-master-catalog/default/dwbb259ca6/productimages/singlepackshot/789660C01_RGB.png"/>
    <hyperlink ref="D3023" r:id="rId3022" display="https://us.pandora.net/on/demandware.static/-/Sites-pandora-master-catalog/default/dwbb259ca6/productimages/singlepackshot/790015C00_RGB.png"/>
    <hyperlink ref="D3024" r:id="rId3023" display="https://us.pandora.net/on/demandware.static/-/Sites-pandora-master-catalog/default/dwbb259ca6/productimages/singlepackshot/790024C01_RGB.png"/>
    <hyperlink ref="D3025" r:id="rId3024" display="https://us.pandora.net/on/demandware.static/-/Sites-pandora-master-catalog/default/dwbb259ca6/productimages/singlepackshot/790064C04_RGB.png"/>
    <hyperlink ref="D3026" r:id="rId3025" display="https://us.pandora.net/on/demandware.static/-/Sites-pandora-master-catalog/default/dwbb259ca6/productimages/singlepackshot/790065C02_RGB.png"/>
    <hyperlink ref="D3027" r:id="rId3026" display="https://us.pandora.net/on/demandware.static/-/Sites-pandora-master-catalog/default/dwbb259ca6/productimages/singlepackshot/790065C05_RGB.png"/>
    <hyperlink ref="D3028" r:id="rId3027" display="https://us.pandora.net/on/demandware.static/-/Sites-pandora-master-catalog/default/dwbb259ca6/productimages/singlepackshot/790065C06_RGB.png"/>
    <hyperlink ref="D3029" r:id="rId3028" display="https://us.pandora.net/on/demandware.static/-/Sites-pandora-master-catalog/default/dwbb259ca6/productimages/singlepackshot/790065C09_RGB.png"/>
    <hyperlink ref="D3030" r:id="rId3029" display="https://us.pandora.net/on/demandware.static/-/Sites-pandora-master-catalog/default/dwbb259ca6/productimages/singlepackshot/790071C00_RGB.png"/>
    <hyperlink ref="D3031" r:id="rId3030" display="https://us.pandora.net/on/demandware.static/-/Sites-pandora-master-catalog/default/dwbb259ca6/productimages/singlepackshot/790075C01_RGB.png"/>
    <hyperlink ref="D3032" r:id="rId3031" display="https://us.pandora.net/on/demandware.static/-/Sites-pandora-master-catalog/default/dwbb259ca6/productimages/singlepackshot/790086C00_RGB.png"/>
    <hyperlink ref="D3033" r:id="rId3032" display="https://us.pandora.net/on/demandware.static/-/Sites-pandora-master-catalog/default/dwbb259ca6/productimages/singlepackshot/790088C01_RGB.png"/>
    <hyperlink ref="D3034" r:id="rId3033" display="https://us.pandora.net/on/demandware.static/-/Sites-pandora-master-catalog/default/dwbb259ca6/productimages/singlepackshot/790111C01_RGB.png"/>
    <hyperlink ref="D3035" r:id="rId3034" display="https://us.pandora.net/on/demandware.static/-/Sites-pandora-master-catalog/default/dwbb259ca6/productimages/singlepackshot/790483C01_RGB.png"/>
    <hyperlink ref="D3036" r:id="rId3035" display="https://us.pandora.net/on/demandware.static/-/Sites-pandora-master-catalog/default/dwbb259ca6/productimages/singlepackshot/790667C01_RGB.png"/>
    <hyperlink ref="D3037" r:id="rId3036" display="https://us.pandora.net/on/demandware.static/-/Sites-pandora-master-catalog/default/dwbb259ca6/productimages/singlepackshot/790667C02_RGB.png"/>
    <hyperlink ref="D3038" r:id="rId3037" display="https://us.pandora.net/on/demandware.static/-/Sites-pandora-master-catalog/default/dwbb259ca6/productimages/singlepackshot/790757C01_RGB.png"/>
    <hyperlink ref="D3039" r:id="rId3038" display="https://us.pandora.net/on/demandware.static/-/Sites-pandora-master-catalog/default/dwbb259ca6/productimages/singlepackshot/790761C01_RGB.png"/>
    <hyperlink ref="D3040" r:id="rId3039" display="https://us.pandora.net/on/demandware.static/-/Sites-pandora-master-catalog/default/dwbb259ca6/productimages/singlepackshot/790762C01_RGB.png"/>
    <hyperlink ref="D3041" r:id="rId3040" display="https://us.pandora.net/on/demandware.static/-/Sites-pandora-master-catalog/default/dwbb259ca6/productimages/singlepackshot/790771C01_RGB.png"/>
    <hyperlink ref="D3042" r:id="rId3041" display="https://us.pandora.net/on/demandware.static/-/Sites-pandora-master-catalog/default/dwbb259ca6/productimages/singlepackshot/790777C01_RGB.png"/>
    <hyperlink ref="D3043" r:id="rId3042" display="https://us.pandora.net/on/demandware.static/-/Sites-pandora-master-catalog/default/dwbb259ca6/productimages/singlepackshot/790777C02_RGB.png"/>
    <hyperlink ref="D3044" r:id="rId3043" display="https://us.pandora.net/on/demandware.static/-/Sites-pandora-master-catalog/default/dwbb259ca6/productimages/singlepackshot/790780C01_RGB.png"/>
    <hyperlink ref="D3045" r:id="rId3044" display="https://us.pandora.net/on/demandware.static/-/Sites-pandora-master-catalog/default/dwbb259ca6/productimages/singlepackshot/790788C01_RGB.png"/>
    <hyperlink ref="D3046" r:id="rId3045" display="https://us.pandora.net/on/demandware.static/-/Sites-pandora-master-catalog/default/dwbb259ca6/productimages/singlepackshot/790800C00_RGB.png"/>
    <hyperlink ref="D3047" r:id="rId3046" display="https://us.pandora.net/on/demandware.static/-/Sites-pandora-master-catalog/default/dwbb259ca6/productimages/singlepackshot/790930_RGB.png"/>
    <hyperlink ref="D3048" r:id="rId3047" display="https://us.pandora.net/on/demandware.static/-/Sites-pandora-master-catalog/default/dwbb259ca6/productimages/singlepackshot/790964_RGB.png"/>
    <hyperlink ref="D3049" r:id="rId3048" display="https://us.pandora.net/on/demandware.static/-/Sites-pandora-master-catalog/default/dwbb259ca6/productimages/singlepackshot/791057C01_RGB.png"/>
    <hyperlink ref="D3050" r:id="rId3049" display="https://us.pandora.net/on/demandware.static/-/Sites-pandora-master-catalog/default/dwbb259ca6/productimages/singlepackshot/791079_RGB.png"/>
    <hyperlink ref="D3051" r:id="rId3050" display="https://us.pandora.net/on/demandware.static/-/Sites-pandora-master-catalog/default/dwbb259ca6/productimages/singlepackshot/791082_RGB.png"/>
    <hyperlink ref="D3052" r:id="rId3051" display="https://us.pandora.net/on/demandware.static/-/Sites-pandora-master-catalog/default/dwbb259ca6/productimages/singlepackshot/791088_RGB.png"/>
    <hyperlink ref="D3053" r:id="rId3052" display="https://us.pandora.net/on/demandware.static/-/Sites-pandora-master-catalog/default/dwbb259ca6/productimages/singlepackshot/791151C01_RGB.png"/>
    <hyperlink ref="D3054" r:id="rId3053" display="https://us.pandora.net/on/demandware.static/-/Sites-pandora-master-catalog/default/dwbb259ca6/productimages/singlepackshot/791155C01_RGB.png"/>
    <hyperlink ref="D3055" r:id="rId3054" display="https://us.pandora.net/on/demandware.static/-/Sites-pandora-master-catalog/default/dwbb259ca6/productimages/singlepackshot/791242CZ_RGB.png"/>
    <hyperlink ref="D3056" r:id="rId3055" display="https://us.pandora.net/on/demandware.static/-/Sites-pandora-master-catalog/default/dwbb259ca6/productimages/singlepackshot/791282_RGB.png"/>
    <hyperlink ref="D3057" r:id="rId3056" display="https://us.pandora.net/on/demandware.static/-/Sites-pandora-master-catalog/default/dwbb259ca6/productimages/singlepackshot/791288CZ_RGB.png"/>
    <hyperlink ref="D3058" r:id="rId3057" display="https://us.pandora.net/on/demandware.static/-/Sites-pandora-master-catalog/default/dwbb259ca6/productimages/singlepackshot/791359CZ_RGB.png"/>
    <hyperlink ref="D3059" r:id="rId3058" display="https://us.pandora.net/on/demandware.static/-/Sites-pandora-master-catalog/default/dwbb259ca6/productimages/singlepackshot/791361EN09_RGB.png"/>
    <hyperlink ref="D3060" r:id="rId3059" display="https://us.pandora.net/on/demandware.static/-/Sites-pandora-master-catalog/default/dwbb259ca6/productimages/singlepackshot/791495EN12_RGB.png"/>
    <hyperlink ref="D3061" r:id="rId3060" display="https://us.pandora.net/on/demandware.static/-/Sites-pandora-master-catalog/default/dwbb259ca6/productimages/singlepackshot/791501C01_RGB.png"/>
    <hyperlink ref="D3062" r:id="rId3061" display="https://us.pandora.net/on/demandware.static/-/Sites-pandora-master-catalog/default/dwbb259ca6/productimages/singlepackshot/791507C00_RGB.png"/>
    <hyperlink ref="D3063" r:id="rId3062" display="https://us.pandora.net/on/demandware.static/-/Sites-pandora-master-catalog/default/dwbb259ca6/productimages/singlepackshot/791535CZ_RGB.png"/>
    <hyperlink ref="D3064" r:id="rId3063" display="https://us.pandora.net/on/demandware.static/-/Sites-pandora-master-catalog/default/dwbb259ca6/productimages/singlepackshot/791583C01_RGB.png"/>
    <hyperlink ref="D3065" r:id="rId3064" display="https://us.pandora.net/on/demandware.static/-/Sites-pandora-master-catalog/default/dwbb259ca6/productimages/singlepackshot/791676C01_RGB.png"/>
    <hyperlink ref="D3066" r:id="rId3065" display="https://us.pandora.net/on/demandware.static/-/Sites-pandora-master-catalog/default/dwbb259ca6/productimages/singlepackshot/791678C01_RGB.png"/>
    <hyperlink ref="D3067" r:id="rId3066" display="https://us.pandora.net/on/demandware.static/-/Sites-pandora-master-catalog/default/dwbb259ca6/productimages/singlepackshot/791681C01_RGB.png"/>
    <hyperlink ref="D3068" r:id="rId3067" display="https://us.pandora.net/on/demandware.static/-/Sites-pandora-master-catalog/default/dwbb259ca6/productimages/singlepackshot/791688C01_RGB.png"/>
    <hyperlink ref="D3069" r:id="rId3068" display="https://us.pandora.net/on/demandware.static/-/Sites-pandora-master-catalog/default/dwbb259ca6/productimages/singlepackshot/791691C01_RGB.png"/>
    <hyperlink ref="D3070" r:id="rId3069" display="https://us.pandora.net/on/demandware.static/-/Sites-pandora-master-catalog/default/dwbb259ca6/productimages/singlepackshot/791691C02_RGB.png"/>
    <hyperlink ref="D3071" r:id="rId3070" display="https://us.pandora.net/on/demandware.static/-/Sites-pandora-master-catalog/default/dwbb259ca6/productimages/singlepackshot/791691C03_RGB.png"/>
    <hyperlink ref="D3072" r:id="rId3071" display="https://us.pandora.net/on/demandware.static/-/Sites-pandora-master-catalog/default/dwbb259ca6/productimages/singlepackshot/791691C04_RGB.png"/>
    <hyperlink ref="D3073" r:id="rId3072" display="https://us.pandora.net/on/demandware.static/-/Sites-pandora-master-catalog/default/dwbb259ca6/productimages/singlepackshot/791691C05_RGB.png"/>
    <hyperlink ref="D3074" r:id="rId3073" display="https://us.pandora.net/on/demandware.static/-/Sites-pandora-master-catalog/default/dwbb259ca6/productimages/singlepackshot/791694C01_RGB.png"/>
    <hyperlink ref="D3075" r:id="rId3074" display="https://us.pandora.net/on/demandware.static/-/Sites-pandora-master-catalog/default/dwbb259ca6/productimages/singlepackshot/791697C01_RGB.png"/>
    <hyperlink ref="D3076" r:id="rId3075" display="https://us.pandora.net/on/demandware.static/-/Sites-pandora-master-catalog/default/dwbb259ca6/productimages/singlepackshot/791714CZ_RGB.png"/>
    <hyperlink ref="D3077" r:id="rId3076" display="https://us.pandora.net/on/demandware.static/-/Sites-pandora-master-catalog/default/dwbb259ca6/productimages/singlepackshot/791726PCZ_RGB.png"/>
    <hyperlink ref="D3078" r:id="rId3077" display="https://us.pandora.net/on/demandware.static/-/Sites-pandora-master-catalog/default/dwbb259ca6/productimages/singlepackshot/791728CZ_RGB.png"/>
    <hyperlink ref="D3079" r:id="rId3078" display="https://us.pandora.net/on/demandware.static/-/Sites-pandora-master-catalog/default/dwbb259ca6/productimages/singlepackshot/791736CZ_RGB.png"/>
    <hyperlink ref="D3080" r:id="rId3079" display="https://us.pandora.net/on/demandware.static/-/Sites-pandora-master-catalog/default/dwbb259ca6/productimages/singlepackshot/791752_RGB.png"/>
    <hyperlink ref="D3081" r:id="rId3080" display="https://us.pandora.net/on/demandware.static/-/Sites-pandora-master-catalog/default/dwbb259ca6/productimages/singlepackshot/791788_RGB.png"/>
    <hyperlink ref="D3082" r:id="rId3081" display="https://us.pandora.net/on/demandware.static/-/Sites-pandora-master-catalog/default/dwbb259ca6/productimages/singlepackshot/791817CZ_RGB.png"/>
    <hyperlink ref="D3083" r:id="rId3082" display="https://us.pandora.net/on/demandware.static/-/Sites-pandora-master-catalog/default/dwbb259ca6/productimages/singlepackshot/791817MCZ_RGB.png"/>
    <hyperlink ref="D3084" r:id="rId3083" display="https://us.pandora.net/on/demandware.static/-/Sites-pandora-master-catalog/default/dwbb259ca6/productimages/singlepackshot/791817NSBMX_RGB.png"/>
    <hyperlink ref="D3085" r:id="rId3084" display="https://us.pandora.net/on/demandware.static/-/Sites-pandora-master-catalog/default/dwbb259ca6/productimages/singlepackshot/791817PCZ_RGB.png"/>
    <hyperlink ref="D3086" r:id="rId3085" display="https://us.pandora.net/on/demandware.static/-/Sites-pandora-master-catalog/default/dwbb259ca6/productimages/singlepackshot/791872_RGB.png"/>
    <hyperlink ref="D3087" r:id="rId3086" display="https://us.pandora.net/on/demandware.static/-/Sites-pandora-master-catalog/default/dwbb259ca6/productimages/singlepackshot/791892_RGB.png"/>
    <hyperlink ref="D3088" r:id="rId3087" display="https://us.pandora.net/on/demandware.static/-/Sites-pandora-master-catalog/default/dwbb259ca6/productimages/singlepackshot/791946PCZ_RGB.png"/>
    <hyperlink ref="D3089" r:id="rId3088" display="https://us.pandora.net/on/demandware.static/-/Sites-pandora-master-catalog/default/dwbb259ca6/productimages/singlepackshot/791948CZ_RGB.png"/>
    <hyperlink ref="D3090" r:id="rId3089" display="https://us.pandora.net/on/demandware.static/-/Sites-pandora-master-catalog/default/dwbb259ca6/productimages/singlepackshot/791972C01_RGB.png"/>
    <hyperlink ref="D3091" r:id="rId3090" display="https://us.pandora.net/on/demandware.static/-/Sites-pandora-master-catalog/default/dwbb259ca6/productimages/singlepackshot/791972CZ_RGB.png"/>
    <hyperlink ref="D3092" r:id="rId3091" display="https://us.pandora.net/on/demandware.static/-/Sites-pandora-master-catalog/default/dwbb259ca6/productimages/singlepackshot/791972PCZ_RGB.png"/>
    <hyperlink ref="D3093" r:id="rId3092" display="https://us.pandora.net/on/demandware.static/-/Sites-pandora-master-catalog/default/dwbb259ca6/productimages/singlepackshot/791978_RGB.png"/>
    <hyperlink ref="D3094" r:id="rId3093" display="https://us.pandora.net/on/demandware.static/-/Sites-pandora-master-catalog/default/dwbb259ca6/productimages/singlepackshot/791993CZ_RGB.png"/>
    <hyperlink ref="D3095" r:id="rId3094" display="https://us.pandora.net/on/demandware.static/-/Sites-pandora-master-catalog/default/dwbb259ca6/productimages/singlepackshot/792015_RGB.png"/>
    <hyperlink ref="D3096" r:id="rId3095" display="https://us.pandora.net/on/demandware.static/-/Sites-pandora-master-catalog/default/dwbb259ca6/productimages/singlepackshot/792015_E033_RGB.png"/>
    <hyperlink ref="D3097" r:id="rId3096" display="https://us.pandora.net/on/demandware.static/-/Sites-pandora-master-catalog/default/dwbb259ca6/productimages/singlepackshot/792015_E040_RGB.png"/>
    <hyperlink ref="D3098" r:id="rId3097" display="https://us.pandora.net/on/demandware.static/-/Sites-pandora-master-catalog/default/dwbb259ca6/productimages/singlepackshot/792015C00_E070_RGB.png"/>
    <hyperlink ref="D3099" r:id="rId3098" display="https://us.pandora.net/on/demandware.static/-/Sites-pandora-master-catalog/default/dwbb259ca6/productimages/singlepackshot/792016CZ_E045_RGB.png"/>
    <hyperlink ref="D3100" r:id="rId3099" display="https://us.pandora.net/on/demandware.static/-/Sites-pandora-master-catalog/default/dwbb259ca6/productimages/singlepackshot/792017CZ_E019_RGB.png"/>
    <hyperlink ref="D3101" r:id="rId3100" display="https://us.pandora.net/on/demandware.static/-/Sites-pandora-master-catalog/default/dwbb259ca6/productimages/singlepackshot/792017CZ_E022_RGB.png"/>
    <hyperlink ref="D3102" r:id="rId3101" display="https://us.pandora.net/on/demandware.static/-/Sites-pandora-master-catalog/default/dwbb259ca6/productimages/singlepackshot/792018_E019_RGB.png"/>
    <hyperlink ref="D3103" r:id="rId3102" display="https://us.pandora.net/on/demandware.static/-/Sites-pandora-master-catalog/default/dwbb259ca6/productimages/singlepackshot/792018C00_E027_RGB.png"/>
    <hyperlink ref="D3104" r:id="rId3103" display="https://us.pandora.net/on/demandware.static/-/Sites-pandora-master-catalog/default/dwbb259ca6/productimages/singlepackshot/792030C01_RGB.png"/>
    <hyperlink ref="D3105" r:id="rId3104" display="https://us.pandora.net/on/demandware.static/-/Sites-pandora-master-catalog/default/dwbb259ca6/productimages/singlepackshot/792031C01_RGB.png"/>
    <hyperlink ref="D3106" r:id="rId3105" display="https://us.pandora.net/on/demandware.static/-/Sites-pandora-master-catalog/default/dwbb259ca6/productimages/singlepackshot/792057CZ_RGB.png"/>
    <hyperlink ref="D3107" r:id="rId3106" display="https://us.pandora.net/on/demandware.static/-/Sites-pandora-master-catalog/default/dwbb259ca6/productimages/singlepackshot/792072EN40_RGB.png"/>
    <hyperlink ref="D3108" r:id="rId3107" display="https://us.pandora.net/on/demandware.static/-/Sites-pandora-master-catalog/default/dwbb259ca6/productimages/singlepackshot/792089CZ_RGB.png"/>
    <hyperlink ref="D3109" r:id="rId3108" display="https://us.pandora.net/on/demandware.static/-/Sites-pandora-master-catalog/default/dwbb259ca6/productimages/singlepackshot/792100CZ_RGB.png"/>
    <hyperlink ref="D3110" r:id="rId3109" display="https://us.pandora.net/on/demandware.static/-/Sites-pandora-master-catalog/default/dwbb259ca6/productimages/singlepackshot/792152CZ_RGB.png"/>
    <hyperlink ref="D3111" r:id="rId3110" display="https://us.pandora.net/on/demandware.static/-/Sites-pandora-master-catalog/default/dwbb259ca6/productimages/singlepackshot/792197C01_RGB.png"/>
    <hyperlink ref="D3112" r:id="rId3111" display="https://us.pandora.net/on/demandware.static/-/Sites-pandora-master-catalog/default/dwbb259ca6/productimages/singlepackshot/792201C01_RGB.png"/>
    <hyperlink ref="D3113" r:id="rId3112" display="https://us.pandora.net/on/demandware.static/-/Sites-pandora-master-catalog/default/dwbb259ca6/productimages/singlepackshot/792209C01_RGB.png"/>
    <hyperlink ref="D3114" r:id="rId3113" display="https://us.pandora.net/on/demandware.static/-/Sites-pandora-master-catalog/default/dwbb259ca6/productimages/singlepackshot/792213C01_RGB.png"/>
    <hyperlink ref="D3115" r:id="rId3114" display="https://us.pandora.net/on/demandware.static/-/Sites-pandora-master-catalog/default/dwbb259ca6/productimages/singlepackshot/792214C01_RGB.png"/>
    <hyperlink ref="D3116" r:id="rId3115" display="https://us.pandora.net/on/demandware.static/-/Sites-pandora-master-catalog/default/dwbb259ca6/productimages/singlepackshot/792235C01_RGB.png"/>
    <hyperlink ref="D3117" r:id="rId3116" display="https://us.pandora.net/on/demandware.static/-/Sites-pandora-master-catalog/default/dwbb259ca6/productimages/singlepackshot/792239C01_RGB.png"/>
    <hyperlink ref="D3118" r:id="rId3117" display="https://us.pandora.net/on/demandware.static/-/Sites-pandora-master-catalog/default/dwbb259ca6/productimages/singlepackshot/792245C01_RGB.png"/>
    <hyperlink ref="D3119" r:id="rId3118" display="https://us.pandora.net/on/demandware.static/-/Sites-pandora-master-catalog/default/dwbb259ca6/productimages/singlepackshot/792247C01_RGB.png"/>
    <hyperlink ref="D3120" r:id="rId3119" display="https://us.pandora.net/on/demandware.static/-/Sites-pandora-master-catalog/default/dwbb259ca6/productimages/singlepackshot/792254C01_RGB.png"/>
    <hyperlink ref="D3121" r:id="rId3120" display="https://us.pandora.net/on/demandware.static/-/Sites-pandora-master-catalog/default/dwbb259ca6/productimages/singlepackshot/792255C01_RGB.png"/>
    <hyperlink ref="D3122" r:id="rId3121" display="https://us.pandora.net/on/demandware.static/-/Sites-pandora-master-catalog/default/dwbb259ca6/productimages/singlepackshot/792274C00_RGB.png"/>
    <hyperlink ref="D3123" r:id="rId3122" display="https://us.pandora.net/on/demandware.static/-/Sites-pandora-master-catalog/default/dwbb259ca6/productimages/singlepackshot/792291C01_RGB.png"/>
    <hyperlink ref="D3124" r:id="rId3123" display="https://us.pandora.net/on/demandware.static/-/Sites-pandora-master-catalog/default/dwbb259ca6/productimages/singlepackshot/792292C01_RGB.png"/>
    <hyperlink ref="D3125" r:id="rId3124" display="https://us.pandora.net/on/demandware.static/-/Sites-pandora-master-catalog/default/dwbb259ca6/productimages/singlepackshot/792323C01_RGB.png"/>
    <hyperlink ref="D3126" r:id="rId3125" display="https://us.pandora.net/on/demandware.static/-/Sites-pandora-master-catalog/default/dwbb259ca6/productimages/singlepackshot/792336C01_RGB.png"/>
    <hyperlink ref="D3127" r:id="rId3126" display="https://us.pandora.net/on/demandware.static/-/Sites-pandora-master-catalog/default/dwbb259ca6/productimages/singlepackshot/792356C01_RGB.png"/>
    <hyperlink ref="D3128" r:id="rId3127" display="https://us.pandora.net/on/demandware.static/-/Sites-pandora-master-catalog/default/dwbb259ca6/productimages/singlepackshot/792358C01_RGB.png"/>
    <hyperlink ref="D3129" r:id="rId3128" display="https://us.pandora.net/on/demandware.static/-/Sites-pandora-master-catalog/default/dwbb259ca6/productimages/singlepackshot/792363C01_RGB.png"/>
    <hyperlink ref="D3130" r:id="rId3129" display="https://us.pandora.net/on/demandware.static/-/Sites-pandora-master-catalog/default/dwbb259ca6/productimages/singlepackshot/792366C01_RGB.png"/>
    <hyperlink ref="D3131" r:id="rId3130" display="https://us.pandora.net/on/demandware.static/-/Sites-pandora-master-catalog/default/dwbb259ca6/productimages/singlepackshot/792369C01_RGB.png"/>
    <hyperlink ref="D3132" r:id="rId3131" display="https://us.pandora.net/on/demandware.static/-/Sites-pandora-master-catalog/default/dwbb259ca6/productimages/singlepackshot/792377C00_RGB.png"/>
    <hyperlink ref="D3133" r:id="rId3132" display="https://us.pandora.net/on/demandware.static/-/Sites-pandora-master-catalog/default/dwbb259ca6/productimages/singlepackshot/792382C01_RGB.png"/>
    <hyperlink ref="D3134" r:id="rId3133" display="https://us.pandora.net/on/demandware.static/-/Sites-pandora-master-catalog/default/dwbb259ca6/productimages/singlepackshot/792383C01_RGB.png"/>
    <hyperlink ref="D3135" r:id="rId3134" display="https://us.pandora.net/on/demandware.static/-/Sites-pandora-master-catalog/default/dwbb259ca6/productimages/singlepackshot/792522C01_RGB.png"/>
    <hyperlink ref="D3136" r:id="rId3135" display="https://us.pandora.net/on/demandware.static/-/Sites-pandora-master-catalog/default/dwbb259ca6/productimages/singlepackshot/792523C01_RGB.png"/>
    <hyperlink ref="D3137" r:id="rId3136" display="https://us.pandora.net/on/demandware.static/-/Sites-pandora-master-catalog/default/dwbb259ca6/productimages/singlepackshot/792552C01_RGB.png"/>
    <hyperlink ref="D3138" r:id="rId3137" display="https://us.pandora.net/on/demandware.static/-/Sites-pandora-master-catalog/default/dwbb259ca6/productimages/singlepackshot/792554C01_RGB.png"/>
    <hyperlink ref="D3139" r:id="rId3138" display="https://us.pandora.net/on/demandware.static/-/Sites-pandora-master-catalog/default/dwbb259ca6/productimages/singlepackshot/792571C01_RGB.png"/>
    <hyperlink ref="D3140" r:id="rId3139" display="https://us.pandora.net/on/demandware.static/-/Sites-pandora-master-catalog/default/dwbb259ca6/productimages/singlepackshot/792573C01_RGB.png"/>
    <hyperlink ref="D3141" r:id="rId3140" display="https://us.pandora.net/on/demandware.static/-/Sites-pandora-master-catalog/default/dwbb259ca6/productimages/singlepackshot/792577C00_RGB.png"/>
    <hyperlink ref="D3142" r:id="rId3141" display="https://us.pandora.net/on/demandware.static/-/Sites-pandora-master-catalog/default/dwbb259ca6/productimages/singlepackshot/792587C01_RGB.png"/>
    <hyperlink ref="D3143" r:id="rId3142" display="https://us.pandora.net/on/demandware.static/-/Sites-pandora-master-catalog/default/dwbb259ca6/productimages/singlepackshot/792623C01_RGB.png"/>
    <hyperlink ref="D3144" r:id="rId3143" display="https://us.pandora.net/on/demandware.static/-/Sites-pandora-master-catalog/default/dwbb259ca6/productimages/singlepackshot/792630C01_RGB.png"/>
    <hyperlink ref="D3145" r:id="rId3144" display="https://us.pandora.net/on/demandware.static/-/Sites-pandora-master-catalog/default/dwbb259ca6/productimages/singlepackshot/792630C02_RGB.png"/>
    <hyperlink ref="D3146" r:id="rId3145" display="https://us.pandora.net/on/demandware.static/-/Sites-pandora-master-catalog/default/dwbb259ca6/productimages/singlepackshot/792630C03_RGB.png"/>
    <hyperlink ref="D3147" r:id="rId3146" display="https://us.pandora.net/on/demandware.static/-/Sites-pandora-master-catalog/default/dwbb259ca6/productimages/singlepackshot/792630C04_RGB.png"/>
    <hyperlink ref="D3148" r:id="rId3147" display="https://us.pandora.net/on/demandware.static/-/Sites-pandora-master-catalog/default/dwbb259ca6/productimages/singlepackshot/792643C01_RGB.png"/>
    <hyperlink ref="D3149" r:id="rId3148" display="https://us.pandora.net/on/demandware.static/-/Sites-pandora-master-catalog/default/dwbb259ca6/productimages/singlepackshot/792649C01_RGB.png"/>
    <hyperlink ref="D3150" r:id="rId3149" display="https://us.pandora.net/on/demandware.static/-/Sites-pandora-master-catalog/default/dwbb259ca6/productimages/singlepackshot/792654C01_RGB.png"/>
    <hyperlink ref="D3151" r:id="rId3150" display="https://us.pandora.net/on/demandware.static/-/Sites-pandora-master-catalog/default/dwbb259ca6/productimages/singlepackshot/792679C01_RGB.png"/>
    <hyperlink ref="D3152" r:id="rId3151" display="https://us.pandora.net/on/demandware.static/-/Sites-pandora-master-catalog/default/dwbb259ca6/productimages/singlepackshot/792680C01_RGB.png"/>
    <hyperlink ref="D3153" r:id="rId3152" display="https://us.pandora.net/on/demandware.static/-/Sites-pandora-master-catalog/default/dwbb259ca6/productimages/singlepackshot/792695C01_RGB.png"/>
    <hyperlink ref="D3154" r:id="rId3153" display="https://us.pandora.net/on/demandware.static/-/Sites-pandora-master-catalog/default/dwbb259ca6/productimages/singlepackshot/792698C01_RGB.png"/>
    <hyperlink ref="D3155" r:id="rId3154" display="https://us.pandora.net/on/demandware.static/-/Sites-pandora-master-catalog/default/dwbb259ca6/productimages/singlepackshot/792700C01_RGB.png"/>
    <hyperlink ref="D3156" r:id="rId3155" display="https://us.pandora.net/on/demandware.static/-/Sites-pandora-master-catalog/default/dwbb259ca6/productimages/singlepackshot/792701C01_RGB.png"/>
    <hyperlink ref="D3157" r:id="rId3156" display="https://us.pandora.net/on/demandware.static/-/Sites-pandora-master-catalog/default/dwbb259ca6/productimages/singlepackshot/792703C01_RGB.png"/>
    <hyperlink ref="D3158" r:id="rId3157" display="https://us.pandora.net/on/demandware.static/-/Sites-pandora-master-catalog/default/dwbb259ca6/productimages/singlepackshot/792704C01_RGB.png"/>
    <hyperlink ref="D3159" r:id="rId3158" display="https://us.pandora.net/on/demandware.static/-/Sites-pandora-master-catalog/default/dwbb259ca6/productimages/singlepackshot/792709C01_RGB.png"/>
    <hyperlink ref="D3160" r:id="rId3159" display="https://us.pandora.net/on/demandware.static/-/Sites-pandora-master-catalog/default/dwbb259ca6/productimages/singlepackshot/792714C01_RGB.png"/>
    <hyperlink ref="D3161" r:id="rId3160" display="https://us.pandora.net/on/demandware.static/-/Sites-pandora-master-catalog/default/dwbb259ca6/productimages/singlepackshot/792746C00_RGB.png"/>
    <hyperlink ref="D3162" r:id="rId3161" display="https://us.pandora.net/on/demandware.static/-/Sites-pandora-master-catalog/default/dwbb259ca6/productimages/singlepackshot/792751C01_RGB.png"/>
    <hyperlink ref="D3163" r:id="rId3162" display="https://us.pandora.net/on/demandware.static/-/Sites-pandora-master-catalog/default/dwbb259ca6/productimages/singlepackshot/792752C01_RGB.png"/>
    <hyperlink ref="D3164" r:id="rId3163" display="https://us.pandora.net/on/demandware.static/-/Sites-pandora-master-catalog/default/dwbb259ca6/productimages/singlepackshot/792754C01_RGB.png"/>
    <hyperlink ref="D3165" r:id="rId3164" display="https://us.pandora.net/on/demandware.static/-/Sites-pandora-master-catalog/default/dwbb259ca6/productimages/singlepackshot/792755C01_RGB.png"/>
    <hyperlink ref="D3166" r:id="rId3165" display="https://us.pandora.net/on/demandware.static/-/Sites-pandora-master-catalog/default/dwbb259ca6/productimages/singlepackshot/792758C01_RGB.png"/>
    <hyperlink ref="D3167" r:id="rId3166" display="https://us.pandora.net/on/demandware.static/-/Sites-pandora-master-catalog/default/dwbb259ca6/productimages/singlepackshot/792766C01_RGB.png"/>
    <hyperlink ref="D3168" r:id="rId3167" display="https://us.pandora.net/on/demandware.static/-/Sites-pandora-master-catalog/default/dwbb259ca6/productimages/singlepackshot/792811C01_RGB.png"/>
    <hyperlink ref="D3169" r:id="rId3168" display="https://us.pandora.net/on/demandware.static/-/Sites-pandora-master-catalog/default/dwbb259ca6/productimages/singlepackshot/792817C01_RGB.png"/>
    <hyperlink ref="D3170" r:id="rId3169" display="https://us.pandora.net/on/demandware.static/-/Sites-pandora-master-catalog/default/dwbb259ca6/productimages/singlepackshot/792820C01_RGB.png"/>
    <hyperlink ref="D3171" r:id="rId3170" display="https://us.pandora.net/on/demandware.static/-/Sites-pandora-master-catalog/default/dwbb259ca6/productimages/singlepackshot/792821C01_RGB.png"/>
    <hyperlink ref="D3172" r:id="rId3171" display="https://us.pandora.net/on/demandware.static/-/Sites-pandora-master-catalog/default/dwbb259ca6/productimages/singlepackshot/792822C01_RGB.png"/>
    <hyperlink ref="D3173" r:id="rId3172" display="https://us.pandora.net/on/demandware.static/-/Sites-pandora-master-catalog/default/dwbb259ca6/productimages/singlepackshot/792828C00_RGB.png"/>
    <hyperlink ref="D3174" r:id="rId3173" display="https://us.pandora.net/on/demandware.static/-/Sites-pandora-master-catalog/default/dwbb259ca6/productimages/singlepackshot/792829C00_RGB.png"/>
    <hyperlink ref="D3175" r:id="rId3174" display="https://us.pandora.net/on/demandware.static/-/Sites-pandora-master-catalog/default/dwbb259ca6/productimages/singlepackshot/792831C01_RGB.png"/>
    <hyperlink ref="D3176" r:id="rId3175" display="https://us.pandora.net/on/demandware.static/-/Sites-pandora-master-catalog/default/dwbb259ca6/productimages/singlepackshot/792954C01_RGB.png"/>
    <hyperlink ref="D3177" r:id="rId3176" display="https://us.pandora.net/on/demandware.static/-/Sites-pandora-master-catalog/default/dwbb259ca6/productimages/singlepackshot/792974C01_RGB.png"/>
    <hyperlink ref="D3178" r:id="rId3177" display="https://us.pandora.net/on/demandware.static/-/Sites-pandora-master-catalog/default/dwbb259ca6/productimages/singlepackshot/792979C01_RGB.png"/>
    <hyperlink ref="D3179" r:id="rId3178" display="https://us.pandora.net/on/demandware.static/-/Sites-pandora-master-catalog/default/dwbb259ca6/productimages/singlepackshot/792980C01_RGB.png"/>
    <hyperlink ref="D3180" r:id="rId3179" display="https://us.pandora.net/on/demandware.static/-/Sites-pandora-master-catalog/default/dwbb259ca6/productimages/singlepackshot/792981C01_RGB.png"/>
    <hyperlink ref="D3181" r:id="rId3180" display="https://us.pandora.net/on/demandware.static/-/Sites-pandora-master-catalog/default/dwbb259ca6/productimages/singlepackshot/792983C01_RGB.png"/>
    <hyperlink ref="D3182" r:id="rId3181" display="https://us.pandora.net/on/demandware.static/-/Sites-pandora-master-catalog/default/dwbb259ca6/productimages/singlepackshot/792986C01_RGB.png"/>
    <hyperlink ref="D3183" r:id="rId3182" display="https://us.pandora.net/on/demandware.static/-/Sites-pandora-master-catalog/default/dwbb259ca6/productimages/singlepackshot/792987C01_RGB.png"/>
    <hyperlink ref="D3184" r:id="rId3183" display="https://us.pandora.net/on/demandware.static/-/Sites-pandora-master-catalog/default/dwbb259ca6/productimages/singlepackshot/792988C01_RGB.png"/>
    <hyperlink ref="D3185" r:id="rId3184" display="https://us.pandora.net/on/demandware.static/-/Sites-pandora-master-catalog/default/dwbb259ca6/productimages/singlepackshot/793031C01_RGB.png"/>
    <hyperlink ref="D3186" r:id="rId3185" display="https://us.pandora.net/on/demandware.static/-/Sites-pandora-master-catalog/default/dwbb259ca6/productimages/singlepackshot/793032C01_RGB.png"/>
    <hyperlink ref="D3187" r:id="rId3186" display="https://us.pandora.net/on/demandware.static/-/Sites-pandora-master-catalog/default/dwbb259ca6/productimages/singlepackshot/793033C00_RGB.png"/>
    <hyperlink ref="D3188" r:id="rId3187" display="https://us.pandora.net/on/demandware.static/-/Sites-pandora-master-catalog/default/dwbb259ca6/productimages/singlepackshot/793041C01_RGB.png"/>
    <hyperlink ref="D3189" r:id="rId3188" display="https://us.pandora.net/on/demandware.static/-/Sites-pandora-master-catalog/default/dwbb259ca6/productimages/singlepackshot/793042C01_RGB.png"/>
    <hyperlink ref="D3190" r:id="rId3189" display="https://us.pandora.net/on/demandware.static/-/Sites-pandora-master-catalog/default/dwbb259ca6/productimages/singlepackshot/793042C02_RGB.png"/>
    <hyperlink ref="D3191" r:id="rId3190" display="https://us.pandora.net/on/demandware.static/-/Sites-pandora-master-catalog/default/dwbb259ca6/productimages/singlepackshot/793042C03_RGB.png"/>
    <hyperlink ref="D3192" r:id="rId3191" display="https://us.pandora.net/on/demandware.static/-/Sites-pandora-master-catalog/default/dwbb259ca6/productimages/singlepackshot/793042C04_RGB.png"/>
    <hyperlink ref="D3193" r:id="rId3192" display="https://us.pandora.net/on/demandware.static/-/Sites-pandora-master-catalog/default/dwbb259ca6/productimages/singlepackshot/793044C01_RGB.png"/>
    <hyperlink ref="D3194" r:id="rId3193" display="https://us.pandora.net/on/demandware.static/-/Sites-pandora-master-catalog/default/dwbb259ca6/productimages/singlepackshot/793048C00_RGB.png"/>
    <hyperlink ref="D3195" r:id="rId3194" display="https://us.pandora.net/on/demandware.static/-/Sites-pandora-master-catalog/default/dwbb259ca6/productimages/singlepackshot/793055C00_RGB.png"/>
    <hyperlink ref="D3196" r:id="rId3195" display="https://us.pandora.net/on/demandware.static/-/Sites-pandora-master-catalog/default/dwbb259ca6/productimages/singlepackshot/793066C01_RGB.png"/>
    <hyperlink ref="D3197" r:id="rId3196" display="https://us.pandora.net/on/demandware.static/-/Sites-pandora-master-catalog/default/dwbb259ca6/productimages/singlepackshot/793071C01_RGB.png"/>
    <hyperlink ref="D3198" r:id="rId3197" display="https://us.pandora.net/on/demandware.static/-/Sites-pandora-master-catalog/default/dwbb259ca6/productimages/singlepackshot/793084C00_RGB.png"/>
    <hyperlink ref="D3199" r:id="rId3198" display="https://us.pandora.net/on/demandware.static/-/Sites-pandora-master-catalog/default/dwbb259ca6/productimages/singlepackshot/793085C01_RGB.png"/>
    <hyperlink ref="D3200" r:id="rId3199" display="https://us.pandora.net/on/demandware.static/-/Sites-pandora-master-catalog/default/dwbb259ca6/productimages/singlepackshot/793086C01_RGB.png"/>
    <hyperlink ref="D3201" r:id="rId3200" display="https://us.pandora.net/on/demandware.static/-/Sites-pandora-master-catalog/default/dwbb259ca6/productimages/singlepackshot/793087C01_RGB.png"/>
    <hyperlink ref="D3202" r:id="rId3201" display="https://us.pandora.net/on/demandware.static/-/Sites-pandora-master-catalog/default/dwbb259ca6/productimages/singlepackshot/793105C00_RGB.png"/>
    <hyperlink ref="D3203" r:id="rId3202" display="https://us.pandora.net/on/demandware.static/-/Sites-pandora-master-catalog/default/dwbb259ca6/productimages/singlepackshot/793106C00_RGB.png"/>
    <hyperlink ref="D3204" r:id="rId3203" display="https://us.pandora.net/on/demandware.static/-/Sites-pandora-master-catalog/default/dwbb259ca6/productimages/singlepackshot/793107C00_RGB.png"/>
    <hyperlink ref="D3205" r:id="rId3204" display="https://us.pandora.net/on/demandware.static/-/Sites-pandora-master-catalog/default/dwbb259ca6/productimages/singlepackshot/793108C01_RGB.png"/>
    <hyperlink ref="D3206" r:id="rId3205" display="https://us.pandora.net/on/demandware.static/-/Sites-pandora-master-catalog/default/dwbb259ca6/productimages/singlepackshot/793117C00_RGB.png"/>
    <hyperlink ref="D3207" r:id="rId3206" display="https://us.pandora.net/on/demandware.static/-/Sites-pandora-master-catalog/default/dwbb259ca6/productimages/singlepackshot/793118C00_RGB.png"/>
    <hyperlink ref="D3208" r:id="rId3207" display="https://us.pandora.net/on/demandware.static/-/Sites-pandora-master-catalog/default/dwbb259ca6/productimages/singlepackshot/793119C01_RGB.png"/>
    <hyperlink ref="D3209" r:id="rId3208" display="https://us.pandora.net/on/demandware.static/-/Sites-pandora-master-catalog/default/dwbb259ca6/productimages/singlepackshot/793125C01_RGB.png"/>
    <hyperlink ref="D3210" r:id="rId3209" display="https://us.pandora.net/on/demandware.static/-/Sites-pandora-master-catalog/default/dwbb259ca6/productimages/singlepackshot/793125C02_RGB.png"/>
    <hyperlink ref="D3211" r:id="rId3210" display="https://us.pandora.net/on/demandware.static/-/Sites-pandora-master-catalog/default/dwbb259ca6/productimages/singlepackshot/793125C03_RGB.png"/>
    <hyperlink ref="D3212" r:id="rId3211" display="https://us.pandora.net/on/demandware.static/-/Sites-pandora-master-catalog/default/dwbb259ca6/productimages/singlepackshot/793125C05_RGB.png"/>
    <hyperlink ref="D3213" r:id="rId3212" display="https://us.pandora.net/on/demandware.static/-/Sites-pandora-master-catalog/default/dwbb259ca6/productimages/singlepackshot/793125C07_RGB.png"/>
    <hyperlink ref="D3214" r:id="rId3213" display="https://us.pandora.net/on/demandware.static/-/Sites-pandora-master-catalog/default/dwbb259ca6/productimages/singlepackshot/793125C09_RGB.png"/>
    <hyperlink ref="D3215" r:id="rId3214" display="https://us.pandora.net/on/demandware.static/-/Sites-pandora-master-catalog/default/dwbb259ca6/productimages/singlepackshot/793125C10_RGB.png"/>
    <hyperlink ref="D3216" r:id="rId3215" display="https://us.pandora.net/on/demandware.static/-/Sites-pandora-master-catalog/default/dwbb259ca6/productimages/singlepackshot/793129C01_RGB.png"/>
    <hyperlink ref="D3217" r:id="rId3216" display="https://us.pandora.net/on/demandware.static/-/Sites-pandora-master-catalog/default/dwbb259ca6/productimages/singlepackshot/793189C01_RGB.png"/>
    <hyperlink ref="D3218" r:id="rId3217" display="https://us.pandora.net/on/demandware.static/-/Sites-pandora-master-catalog/default/dwbb259ca6/productimages/singlepackshot/793200C01_RGB.png"/>
    <hyperlink ref="D3219" r:id="rId3218" display="https://us.pandora.net/on/demandware.static/-/Sites-pandora-master-catalog/default/dwbb259ca6/productimages/singlepackshot/793201C01_RGB.png"/>
    <hyperlink ref="D3220" r:id="rId3219" display="https://us.pandora.net/on/demandware.static/-/Sites-pandora-master-catalog/default/dwbb259ca6/productimages/singlepackshot/793201C02_RGB.png"/>
    <hyperlink ref="D3221" r:id="rId3220" display="https://us.pandora.net/on/demandware.static/-/Sites-pandora-master-catalog/default/dwbb259ca6/productimages/singlepackshot/793202C01_RGB.png"/>
    <hyperlink ref="D3222" r:id="rId3221" display="https://us.pandora.net/on/demandware.static/-/Sites-pandora-master-catalog/default/dwbb259ca6/productimages/singlepackshot/793212C01_RGB.png"/>
    <hyperlink ref="D3223" r:id="rId3222" display="https://us.pandora.net/on/demandware.static/-/Sites-pandora-master-catalog/default/dwbb259ca6/productimages/singlepackshot/793213C00_RGB.png"/>
    <hyperlink ref="D3224" r:id="rId3223" display="https://us.pandora.net/on/demandware.static/-/Sites-pandora-master-catalog/default/dwbb259ca6/productimages/singlepackshot/793232C01_RGB.png"/>
    <hyperlink ref="D3225" r:id="rId3224" display="https://us.pandora.net/on/demandware.static/-/Sites-pandora-master-catalog/default/dwbb259ca6/productimages/singlepackshot/793241C00_RGB.png"/>
    <hyperlink ref="D3226" r:id="rId3225" display="https://us.pandora.net/on/demandware.static/-/Sites-pandora-master-catalog/default/dwbb259ca6/productimages/singlepackshot/793243C00_RGB.png"/>
    <hyperlink ref="D3227" r:id="rId3226" display="https://us.pandora.net/on/demandware.static/-/Sites-pandora-master-catalog/default/dwbb259ca6/productimages/singlepackshot/793252C00_RGB.png"/>
    <hyperlink ref="D3228" r:id="rId3227" display="https://us.pandora.net/on/demandware.static/-/Sites-pandora-master-catalog/default/dwbb259ca6/productimages/singlepackshot/793331C01_RGB.png"/>
    <hyperlink ref="D3229" r:id="rId3228" display="https://us.pandora.net/on/demandware.static/-/Sites-pandora-master-catalog/default/dwbb259ca6/productimages/singlepackshot/793332C01_RGB.png"/>
    <hyperlink ref="D3230" r:id="rId3229" display="https://us.pandora.net/on/demandware.static/-/Sites-pandora-master-catalog/default/dwbb259ca6/productimages/singlepackshot/793337C01_RGB.png"/>
    <hyperlink ref="D3231" r:id="rId3230" display="https://us.pandora.net/on/demandware.static/-/Sites-pandora-master-catalog/default/dwbb259ca6/productimages/singlepackshot/793337C02_RGB.png"/>
    <hyperlink ref="D3232" r:id="rId3231" display="https://us.pandora.net/on/demandware.static/-/Sites-pandora-master-catalog/default/dwbb259ca6/productimages/singlepackshot/793337C03_RGB.png"/>
    <hyperlink ref="D3233" r:id="rId3232" display="https://us.pandora.net/on/demandware.static/-/Sites-pandora-master-catalog/default/dwbb259ca6/productimages/singlepackshot/793337C04_RGB.png"/>
    <hyperlink ref="D3234" r:id="rId3233" display="https://us.pandora.net/on/demandware.static/-/Sites-pandora-master-catalog/default/dwbb259ca6/productimages/singlepackshot/793337C05_RGB.png"/>
    <hyperlink ref="D3235" r:id="rId3234" display="https://us.pandora.net/on/demandware.static/-/Sites-pandora-master-catalog/default/dwbb259ca6/productimages/singlepackshot/793337C06_RGB.png"/>
    <hyperlink ref="D3236" r:id="rId3235" display="https://us.pandora.net/on/demandware.static/-/Sites-pandora-master-catalog/default/dwbb259ca6/productimages/singlepackshot/793337C07_RGB.png"/>
    <hyperlink ref="D3237" r:id="rId3236" display="https://us.pandora.net/on/demandware.static/-/Sites-pandora-master-catalog/default/dwbb259ca6/productimages/singlepackshot/793339C01_RGB.png"/>
    <hyperlink ref="D3238" r:id="rId3237" display="https://us.pandora.net/on/demandware.static/-/Sites-pandora-master-catalog/default/dwbb259ca6/productimages/singlepackshot/793342C01_RGB.png"/>
    <hyperlink ref="D3239" r:id="rId3238" display="https://us.pandora.net/on/demandware.static/-/Sites-pandora-master-catalog/default/dwbb259ca6/productimages/singlepackshot/793345C01_RGB.png"/>
    <hyperlink ref="D3240" r:id="rId3239" display="https://us.pandora.net/on/demandware.static/-/Sites-pandora-master-catalog/default/dwbb259ca6/productimages/singlepackshot/793348C01_RGB.png"/>
    <hyperlink ref="D3241" r:id="rId3240" display="https://us.pandora.net/on/demandware.static/-/Sites-pandora-master-catalog/default/dwbb259ca6/productimages/singlepackshot/793351C00_RGB.png"/>
    <hyperlink ref="D3242" r:id="rId3241" display="https://us.pandora.net/on/demandware.static/-/Sites-pandora-master-catalog/default/dwbb259ca6/productimages/singlepackshot/793352C01_RGB.png"/>
    <hyperlink ref="D3243" r:id="rId3242" display="https://us.pandora.net/on/demandware.static/-/Sites-pandora-master-catalog/default/dwbb259ca6/productimages/singlepackshot/793353C00_RGB.png"/>
    <hyperlink ref="D3244" r:id="rId3243" display="https://us.pandora.net/on/demandware.static/-/Sites-pandora-master-catalog/default/dwbb259ca6/productimages/singlepackshot/793357C01_RGB.png"/>
    <hyperlink ref="D3245" r:id="rId3244" display="https://us.pandora.net/on/demandware.static/-/Sites-pandora-master-catalog/default/dwbb259ca6/productimages/singlepackshot/793359C01_RGB.png"/>
    <hyperlink ref="D3246" r:id="rId3245" display="https://us.pandora.net/on/demandware.static/-/Sites-pandora-master-catalog/default/dwbb259ca6/productimages/singlepackshot/793360C01_RGB.png"/>
    <hyperlink ref="D3247" r:id="rId3246" display="https://us.pandora.net/on/demandware.static/-/Sites-pandora-master-catalog/default/dwbb259ca6/productimages/singlepackshot/793364C01_RGB.png"/>
    <hyperlink ref="D3248" r:id="rId3247" display="https://us.pandora.net/on/demandware.static/-/Sites-pandora-master-catalog/default/dwbb259ca6/productimages/singlepackshot/793367C01_RGB.png"/>
    <hyperlink ref="D3249" r:id="rId3248" display="https://us.pandora.net/on/demandware.static/-/Sites-pandora-master-catalog/default/dwbb259ca6/productimages/singlepackshot/793370C01_RGB.png"/>
    <hyperlink ref="D3250" r:id="rId3249" display="https://us.pandora.net/on/demandware.static/-/Sites-pandora-master-catalog/default/dwbb259ca6/productimages/singlepackshot/793388C01_RGB.png"/>
    <hyperlink ref="D3251" r:id="rId3250" display="https://us.pandora.net/on/demandware.static/-/Sites-pandora-master-catalog/default/dwbb259ca6/productimages/singlepackshot/793389C01_RGB.png"/>
    <hyperlink ref="D3252" r:id="rId3251" display="https://us.pandora.net/on/demandware.static/-/Sites-pandora-master-catalog/default/dwbb259ca6/productimages/singlepackshot/793404C01_RGB.png"/>
    <hyperlink ref="D3253" r:id="rId3252" display="https://us.pandora.net/on/demandware.static/-/Sites-pandora-master-catalog/default/dwbb259ca6/productimages/singlepackshot/793411C01_RGB.png"/>
    <hyperlink ref="D3254" r:id="rId3253" display="https://us.pandora.net/on/demandware.static/-/Sites-pandora-master-catalog/default/dwbb259ca6/productimages/singlepackshot/793420C01_RGB.png"/>
    <hyperlink ref="D3255" r:id="rId3254" display="https://us.pandora.net/on/demandware.static/-/Sites-pandora-master-catalog/default/dwbb259ca6/productimages/singlepackshot/793423C01_RGB.png"/>
    <hyperlink ref="D3256" r:id="rId3255" display="https://us.pandora.net/on/demandware.static/-/Sites-pandora-master-catalog/default/dwbb259ca6/productimages/singlepackshot/793424C01_RGB.png"/>
    <hyperlink ref="D3257" r:id="rId3256" display="https://us.pandora.net/on/demandware.static/-/Sites-pandora-master-catalog/default/dwbb259ca6/productimages/singlepackshot/793434C01_RGB.png"/>
    <hyperlink ref="D3258" r:id="rId3257" display="https://us.pandora.net/on/demandware.static/-/Sites-pandora-master-catalog/default/dwbb259ca6/productimages/singlepackshot/793439C00_RGB.png"/>
    <hyperlink ref="D3259" r:id="rId3258" display="https://us.pandora.net/on/demandware.static/-/Sites-pandora-master-catalog/default/dwbb259ca6/productimages/singlepackshot/793440C00_RGB.png"/>
    <hyperlink ref="D3260" r:id="rId3259" display="https://us.pandora.net/on/demandware.static/-/Sites-pandora-master-catalog/default/dwbb259ca6/productimages/singlepackshot/793442C01_RGB.png"/>
    <hyperlink ref="D3261" r:id="rId3260" display="https://us.pandora.net/on/demandware.static/-/Sites-pandora-master-catalog/default/dwbb259ca6/productimages/singlepackshot/793448C01_RGB.png"/>
    <hyperlink ref="D3262" r:id="rId3261" display="https://us.pandora.net/on/demandware.static/-/Sites-pandora-master-catalog/default/dwbb259ca6/productimages/singlepackshot/793449C00_RGB.png"/>
    <hyperlink ref="D3263" r:id="rId3262" display="https://us.pandora.net/on/demandware.static/-/Sites-pandora-master-catalog/default/dwbb259ca6/productimages/singlepackshot/793450C01_RGB.png"/>
    <hyperlink ref="D3264" r:id="rId3263" display="https://us.pandora.net/on/demandware.static/-/Sites-pandora-master-catalog/default/dwbb259ca6/productimages/singlepackshot/793451C01_RGB.png"/>
    <hyperlink ref="D3265" r:id="rId3264" display="https://us.pandora.net/on/demandware.static/-/Sites-pandora-master-catalog/default/dwbb259ca6/productimages/singlepackshot/793452C01_RGB.png"/>
    <hyperlink ref="D3266" r:id="rId3265" display="https://us.pandora.net/on/demandware.static/-/Sites-pandora-master-catalog/default/dwbb259ca6/productimages/singlepackshot/793463C01_RGB.png"/>
    <hyperlink ref="D3267" r:id="rId3266" display="https://us.pandora.net/on/demandware.static/-/Sites-pandora-master-catalog/default/dwbb259ca6/productimages/singlepackshot/793512C01_RGB.png"/>
    <hyperlink ref="D3268" r:id="rId3267" display="https://us.pandora.net/on/demandware.static/-/Sites-pandora-master-catalog/default/dwbb259ca6/productimages/singlepackshot/793514C01_RGB.png"/>
    <hyperlink ref="D3269" r:id="rId3268" display="https://us.pandora.net/on/demandware.static/-/Sites-pandora-master-catalog/default/dwbb259ca6/productimages/singlepackshot/793530C01_RGB.png"/>
    <hyperlink ref="D3270" r:id="rId3269" display="https://us.pandora.net/on/demandware.static/-/Sites-pandora-master-catalog/default/dwbb259ca6/productimages/singlepackshot/793531C01_RGB.png"/>
    <hyperlink ref="D3271" r:id="rId3270" display="https://us.pandora.net/on/demandware.static/-/Sites-pandora-master-catalog/default/dwbb259ca6/productimages/singlepackshot/793532C01_RGB.png"/>
    <hyperlink ref="D3272" r:id="rId3271" display="https://us.pandora.net/on/demandware.static/-/Sites-pandora-master-catalog/default/dwbb259ca6/productimages/singlepackshot/793533C01_RGB.png"/>
    <hyperlink ref="D3273" r:id="rId3272" display="https://us.pandora.net/on/demandware.static/-/Sites-pandora-master-catalog/default/dwbb259ca6/productimages/singlepackshot/793559C01_RGB.png"/>
    <hyperlink ref="D3274" r:id="rId3273" display="https://us.pandora.net/on/demandware.static/-/Sites-pandora-master-catalog/default/dwbb259ca6/productimages/singlepackshot/793562C01_RGB.png"/>
    <hyperlink ref="D3275" r:id="rId3274" display="https://us.pandora.net/on/demandware.static/-/Sites-pandora-master-catalog/default/dwbb259ca6/productimages/singlepackshot/793563C01_RGB.png"/>
    <hyperlink ref="D3276" r:id="rId3275" display="https://us.pandora.net/on/demandware.static/-/Sites-pandora-master-catalog/default/dwbb259ca6/productimages/singlepackshot/793564C01_RGB.png"/>
    <hyperlink ref="D3277" r:id="rId3276" display="https://us.pandora.net/on/demandware.static/-/Sites-pandora-master-catalog/default/dwbb259ca6/productimages/singlepackshot/793565C01_RGB.png"/>
    <hyperlink ref="D3278" r:id="rId3277" display="https://us.pandora.net/on/demandware.static/-/Sites-pandora-master-catalog/default/dwbb259ca6/productimages/singlepackshot/793568C01_RGB.png"/>
    <hyperlink ref="D3279" r:id="rId3278" display="https://us.pandora.net/on/demandware.static/-/Sites-pandora-master-catalog/default/dwbb259ca6/productimages/singlepackshot/793583C01_RGB.png"/>
    <hyperlink ref="D3280" r:id="rId3279" display="https://us.pandora.net/on/demandware.static/-/Sites-pandora-master-catalog/default/dwbb259ca6/productimages/singlepackshot/793586C01_RGB.png"/>
    <hyperlink ref="D3281" r:id="rId3280" display="https://us.pandora.net/on/demandware.static/-/Sites-pandora-master-catalog/default/dwbb259ca6/productimages/singlepackshot/793589C01_RGB.png"/>
    <hyperlink ref="D3282" r:id="rId3281" display="https://us.pandora.net/on/demandware.static/-/Sites-pandora-master-catalog/default/dwbb259ca6/productimages/singlepackshot/793591C01_RGB.png"/>
    <hyperlink ref="D3283" r:id="rId3282" display="https://us.pandora.net/on/demandware.static/-/Sites-pandora-master-catalog/default/dwbb259ca6/productimages/singlepackshot/793593C01_RGB.png"/>
    <hyperlink ref="D3284" r:id="rId3283" display="https://us.pandora.net/on/demandware.static/-/Sites-pandora-master-catalog/default/dwbb259ca6/productimages/singlepackshot/793594C01_RGB.png"/>
    <hyperlink ref="D3285" r:id="rId3284" display="https://us.pandora.net/on/demandware.static/-/Sites-pandora-master-catalog/default/dwbb259ca6/productimages/singlepackshot/793595C01_RGB.png"/>
    <hyperlink ref="D3286" r:id="rId3285" display="https://us.pandora.net/on/demandware.static/-/Sites-pandora-master-catalog/default/dwbb259ca6/productimages/singlepackshot/793596C01_RGB.png"/>
    <hyperlink ref="D3287" r:id="rId3286" display="https://us.pandora.net/on/demandware.static/-/Sites-pandora-master-catalog/default/dwbb259ca6/productimages/singlepackshot/793597C00_RGB.png"/>
    <hyperlink ref="D3288" r:id="rId3287" display="https://us.pandora.net/on/demandware.static/-/Sites-pandora-master-catalog/default/dwbb259ca6/productimages/singlepackshot/793598C01_RGB.png"/>
    <hyperlink ref="D3289" r:id="rId3288" display="https://us.pandora.net/on/demandware.static/-/Sites-pandora-master-catalog/default/dwbb259ca6/productimages/singlepackshot/793599C01_RGB.png"/>
    <hyperlink ref="D3290" r:id="rId3289" display="https://us.pandora.net/on/demandware.static/-/Sites-pandora-master-catalog/default/dwbb259ca6/productimages/singlepackshot/793603C01_RGB.png"/>
    <hyperlink ref="D3291" r:id="rId3290" display="https://us.pandora.net/on/demandware.static/-/Sites-pandora-master-catalog/default/dwbb259ca6/productimages/singlepackshot/793604C01_RGB.png"/>
    <hyperlink ref="D3292" r:id="rId3291" display="https://us.pandora.net/on/demandware.static/-/Sites-pandora-master-catalog/default/dwbb259ca6/productimages/singlepackshot/793620C01_RGB.png"/>
    <hyperlink ref="D3293" r:id="rId3292" display="https://us.pandora.net/on/demandware.static/-/Sites-pandora-master-catalog/default/dwbb259ca6/productimages/singlepackshot/793626C01_RGB.png"/>
    <hyperlink ref="D3294" r:id="rId3293" display="https://us.pandora.net/on/demandware.static/-/Sites-pandora-master-catalog/default/dwbb259ca6/productimages/singlepackshot/793649C01_RGB.png"/>
    <hyperlink ref="D3295" r:id="rId3294" display="https://us.pandora.net/on/demandware.static/-/Sites-pandora-master-catalog/default/dwbb259ca6/productimages/singlepackshot/793665C01_RGB.png"/>
    <hyperlink ref="D3296" r:id="rId3295" display="https://us.pandora.net/on/demandware.static/-/Sites-pandora-master-catalog/default/dwbb259ca6/productimages/singlepackshot/793667C01_RGB.png"/>
    <hyperlink ref="D3297" r:id="rId3296" display="https://us.pandora.net/on/demandware.static/-/Sites-pandora-master-catalog/default/dwbb259ca6/productimages/singlepackshot/793671C00_RGB.png"/>
    <hyperlink ref="D3298" r:id="rId3297" display="https://us.pandora.net/on/demandware.static/-/Sites-pandora-master-catalog/default/dwbb259ca6/productimages/singlepackshot/793672C01_RGB.png"/>
    <hyperlink ref="D3299" r:id="rId3298" display="https://us.pandora.net/on/demandware.static/-/Sites-pandora-master-catalog/default/dwbb259ca6/productimages/singlepackshot/793673C01_RGB.png"/>
    <hyperlink ref="D3300" r:id="rId3299" display="https://us.pandora.net/on/demandware.static/-/Sites-pandora-master-catalog/default/dwbb259ca6/productimages/singlepackshot/793676C01_RGB.png"/>
    <hyperlink ref="D3301" r:id="rId3300" display="https://us.pandora.net/on/demandware.static/-/Sites-pandora-master-catalog/default/dwbb259ca6/productimages/singlepackshot/793679C01_RGB.png"/>
    <hyperlink ref="D3302" r:id="rId3301" display="https://us.pandora.net/on/demandware.static/-/Sites-pandora-master-catalog/default/dwbb259ca6/productimages/singlepackshot/793687C01_RGB.png"/>
    <hyperlink ref="D3303" r:id="rId3302" display="https://us.pandora.net/on/demandware.static/-/Sites-pandora-master-catalog/default/dwbb259ca6/productimages/singlepackshot/793688C01_RGB.png"/>
    <hyperlink ref="D3304" r:id="rId3303" display="https://us.pandora.net/on/demandware.static/-/Sites-pandora-master-catalog/default/dwbb259ca6/productimages/singlepackshot/793693C00_RGB.png"/>
    <hyperlink ref="D3305" r:id="rId3304" display="https://us.pandora.net/on/demandware.static/-/Sites-pandora-master-catalog/default/dwbb259ca6/productimages/singlepackshot/793704C02_RGB.png"/>
    <hyperlink ref="D3306" r:id="rId3305" display="https://us.pandora.net/on/demandware.static/-/Sites-pandora-master-catalog/default/dwbb259ca6/productimages/singlepackshot/793707C01_RGB.png"/>
    <hyperlink ref="D3307" r:id="rId3306" display="https://us.pandora.net/on/demandware.static/-/Sites-pandora-master-catalog/default/dwbb259ca6/productimages/singlepackshot/793739C01_RGB.png"/>
    <hyperlink ref="D3308" r:id="rId3307" display="https://us.pandora.net/on/demandware.static/-/Sites-pandora-master-catalog/default/dwbb259ca6/productimages/singlepackshot/793744C01_RGB.png"/>
    <hyperlink ref="D3309" r:id="rId3308" display="https://us.pandora.net/on/demandware.static/-/Sites-pandora-master-catalog/default/dwbb259ca6/productimages/singlepackshot/793745C01_RGB.png"/>
    <hyperlink ref="D3310" r:id="rId3309" display="https://us.pandora.net/on/demandware.static/-/Sites-pandora-master-catalog/default/dwbb259ca6/productimages/singlepackshot/793746C01_RGB.png"/>
    <hyperlink ref="D3311" r:id="rId3310" display="https://us.pandora.net/on/demandware.static/-/Sites-pandora-master-catalog/default/dwbb259ca6/productimages/singlepackshot/793747C01_RGB.png"/>
    <hyperlink ref="D3312" r:id="rId3311" display="https://us.pandora.net/on/demandware.static/-/Sites-pandora-master-catalog/default/dwbb259ca6/productimages/singlepackshot/793748C01_RGB.png"/>
    <hyperlink ref="D3313" r:id="rId3312" display="https://us.pandora.net/on/demandware.static/-/Sites-pandora-master-catalog/default/dwbb259ca6/productimages/singlepackshot/793749C01_RGB.png"/>
    <hyperlink ref="D3314" r:id="rId3313" display="https://us.pandora.net/on/demandware.static/-/Sites-pandora-master-catalog/default/dwbb259ca6/productimages/singlepackshot/793751C01_RGB.png"/>
    <hyperlink ref="D3315" r:id="rId3314" display="https://us.pandora.net/on/demandware.static/-/Sites-pandora-master-catalog/default/dwbb259ca6/productimages/singlepackshot/793755C00_RGB.png"/>
    <hyperlink ref="D3316" r:id="rId3315" display="https://us.pandora.net/on/demandware.static/-/Sites-pandora-master-catalog/default/dwbb259ca6/productimages/singlepackshot/793765C01_RGB.png"/>
    <hyperlink ref="D3317" r:id="rId3316" display="https://us.pandora.net/on/demandware.static/-/Sites-pandora-master-catalog/default/dwbb259ca6/productimages/singlepackshot/793766C01_RGB.png"/>
    <hyperlink ref="D3318" r:id="rId3317" display="https://us.pandora.net/on/demandware.static/-/Sites-pandora-master-catalog/default/dwbb259ca6/productimages/singlepackshot/793768C01_RGB.png"/>
    <hyperlink ref="D3319" r:id="rId3318" display="https://us.pandora.net/on/demandware.static/-/Sites-pandora-master-catalog/default/dwbb259ca6/productimages/singlepackshot/793771C01_RGB.png"/>
    <hyperlink ref="D3320" r:id="rId3319" display="https://us.pandora.net/on/demandware.static/-/Sites-pandora-master-catalog/default/dwbb259ca6/productimages/singlepackshot/793772C01_RGB.png"/>
    <hyperlink ref="D3321" r:id="rId3320" display="https://us.pandora.net/on/demandware.static/-/Sites-pandora-master-catalog/default/dwbb259ca6/productimages/singlepackshot/793780C01_RGB.png"/>
    <hyperlink ref="D3322" r:id="rId3321" display="https://us.pandora.net/on/demandware.static/-/Sites-pandora-master-catalog/default/dwbb259ca6/productimages/singlepackshot/793781C01_RGB.png"/>
    <hyperlink ref="D3323" r:id="rId3322" display="https://us.pandora.net/on/demandware.static/-/Sites-pandora-master-catalog/default/dwbb259ca6/productimages/singlepackshot/793783C01_RGB.png"/>
    <hyperlink ref="D3324" r:id="rId3323" display="https://us.pandora.net/on/demandware.static/-/Sites-pandora-master-catalog/default/dwbb259ca6/productimages/singlepackshot/793785C01_RGB.png"/>
    <hyperlink ref="D3325" r:id="rId3324" display="https://us.pandora.net/on/demandware.static/-/Sites-pandora-master-catalog/default/dwbb259ca6/productimages/singlepackshot/793788C01_RGB.png"/>
    <hyperlink ref="D3326" r:id="rId3325" display="https://us.pandora.net/on/demandware.static/-/Sites-pandora-master-catalog/default/dwbb259ca6/productimages/singlepackshot/793789C01_RGB.png"/>
    <hyperlink ref="D3327" r:id="rId3326" display="https://us.pandora.net/on/demandware.static/-/Sites-pandora-master-catalog/default/dwbb259ca6/productimages/singlepackshot/793815C01_RGB.png"/>
    <hyperlink ref="D3328" r:id="rId3327" display="https://us.pandora.net/on/demandware.static/-/Sites-pandora-master-catalog/default/dwbb259ca6/productimages/singlepackshot/793817C01_RGB.png"/>
    <hyperlink ref="D3329" r:id="rId3328" display="https://us.pandora.net/on/demandware.static/-/Sites-pandora-master-catalog/default/dwbb259ca6/productimages/singlepackshot/793819C01_RGB.png"/>
    <hyperlink ref="D3330" r:id="rId3329" display="https://us.pandora.net/on/demandware.static/-/Sites-pandora-master-catalog/default/dwbb259ca6/productimages/singlepackshot/793821C01_RGB.png"/>
    <hyperlink ref="D3331" r:id="rId3330" display="https://us.pandora.net/on/demandware.static/-/Sites-pandora-master-catalog/default/dwbb259ca6/productimages/singlepackshot/793822C01_RGB.png"/>
    <hyperlink ref="D3332" r:id="rId3331" display="https://us.pandora.net/on/demandware.static/-/Sites-pandora-master-catalog/default/dwbb259ca6/productimages/singlepackshot/793827C01_RGB.png"/>
    <hyperlink ref="D3333" r:id="rId3332" display="https://us.pandora.net/on/demandware.static/-/Sites-pandora-master-catalog/default/dwbb259ca6/productimages/singlepackshot/793840C01_RGB.png"/>
    <hyperlink ref="D3334" r:id="rId3333" display="https://us.pandora.net/on/demandware.static/-/Sites-pandora-master-catalog/default/dwbb259ca6/productimages/singlepackshot/793842C01_RGB.png"/>
    <hyperlink ref="D3335" r:id="rId3334" display="https://us.pandora.net/on/demandware.static/-/Sites-pandora-master-catalog/default/dwbb259ca6/productimages/singlepackshot/793855C01_RGB.png"/>
    <hyperlink ref="D3336" r:id="rId3335" display="https://us.pandora.net/on/demandware.static/-/Sites-pandora-master-catalog/default/dwbb259ca6/productimages/singlepackshot/793858C01_RGB.png"/>
    <hyperlink ref="D3337" r:id="rId3336" display="https://us.pandora.net/on/demandware.static/-/Sites-pandora-master-catalog/default/dwbb259ca6/productimages/singlepackshot/793860C01_RGB.png"/>
    <hyperlink ref="D3338" r:id="rId3337" display="https://us.pandora.net/on/demandware.static/-/Sites-pandora-master-catalog/default/dwbb259ca6/productimages/singlepackshot/793863C01_RGB.png"/>
    <hyperlink ref="D3339" r:id="rId3338" display="https://us.pandora.net/on/demandware.static/-/Sites-pandora-master-catalog/default/dwbb259ca6/productimages/singlepackshot/793894C01_RGB.png"/>
    <hyperlink ref="D3340" r:id="rId3339" display="https://us.pandora.net/on/demandware.static/-/Sites-pandora-master-catalog/default/dwbb259ca6/productimages/singlepackshot/793896C01_RGB.png"/>
    <hyperlink ref="D3341" r:id="rId3340" display="https://us.pandora.net/on/demandware.static/-/Sites-pandora-master-catalog/default/dwbb259ca6/productimages/singlepackshot/793897C01_RGB.png"/>
    <hyperlink ref="D3342" r:id="rId3341" display="https://us.pandora.net/on/demandware.static/-/Sites-pandora-master-catalog/default/dwbb259ca6/productimages/singlepackshot/793897C02_RGB.png"/>
    <hyperlink ref="D3343" r:id="rId3342" display="https://us.pandora.net/on/demandware.static/-/Sites-pandora-master-catalog/default/dwbb259ca6/productimages/singlepackshot/793900C01_RGB.png"/>
    <hyperlink ref="D3344" r:id="rId3343" display="https://us.pandora.net/on/demandware.static/-/Sites-pandora-master-catalog/default/dwbb259ca6/productimages/singlepackshot/793901C01_RGB.png"/>
    <hyperlink ref="D3345" r:id="rId3344" display="https://us.pandora.net/on/demandware.static/-/Sites-pandora-master-catalog/default/dwbb259ca6/productimages/singlepackshot/793905C01_RGB.png"/>
    <hyperlink ref="D3346" r:id="rId3345" display="https://us.pandora.net/on/demandware.static/-/Sites-pandora-master-catalog/default/dwbb259ca6/productimages/singlepackshot/793907C00_RGB.png"/>
    <hyperlink ref="D3347" r:id="rId3346" display="https://us.pandora.net/on/demandware.static/-/Sites-pandora-master-catalog/default/dwbb259ca6/productimages/singlepackshot/793908C00_RGB.png"/>
    <hyperlink ref="D3348" r:id="rId3347" display="https://us.pandora.net/on/demandware.static/-/Sites-pandora-master-catalog/default/dwbb259ca6/productimages/singlepackshot/793909C00_RGB.png"/>
    <hyperlink ref="D3349" r:id="rId3348" display="https://us.pandora.net/on/demandware.static/-/Sites-pandora-master-catalog/default/dwbb259ca6/productimages/singlepackshot/793910C00_RGB.png"/>
    <hyperlink ref="D3350" r:id="rId3349" display="https://us.pandora.net/on/demandware.static/-/Sites-pandora-master-catalog/default/dwbb259ca6/productimages/singlepackshot/793911C00_RGB.png"/>
    <hyperlink ref="D3351" r:id="rId3350" display="https://us.pandora.net/on/demandware.static/-/Sites-pandora-master-catalog/default/dwbb259ca6/productimages/singlepackshot/793912C00_RGB.png"/>
    <hyperlink ref="D3352" r:id="rId3351" display="https://us.pandora.net/on/demandware.static/-/Sites-pandora-master-catalog/default/dwbb259ca6/productimages/singlepackshot/793913C01_RGB.png"/>
    <hyperlink ref="D3353" r:id="rId3352" display="https://us.pandora.net/on/demandware.static/-/Sites-pandora-master-catalog/default/dwbb259ca6/productimages/singlepackshot/793921C01_RGB.png"/>
    <hyperlink ref="D3354" r:id="rId3353" display="https://us.pandora.net/on/demandware.static/-/Sites-pandora-master-catalog/default/dwbb259ca6/productimages/singlepackshot/793924C01_RGB.png"/>
    <hyperlink ref="D3355" r:id="rId3354" display="https://us.pandora.net/on/demandware.static/-/Sites-pandora-master-catalog/default/dwbb259ca6/productimages/singlepackshot/793926C02_RGB.png"/>
    <hyperlink ref="D3356" r:id="rId3355" display="https://us.pandora.net/on/demandware.static/-/Sites-pandora-master-catalog/default/dwbb259ca6/productimages/singlepackshot/793926C03_RGB.png"/>
    <hyperlink ref="D3357" r:id="rId3356" display="https://us.pandora.net/on/demandware.static/-/Sites-pandora-master-catalog/default/dwbb259ca6/productimages/singlepackshot/793975C01_RGB.png"/>
    <hyperlink ref="D3358" r:id="rId3357" display="https://us.pandora.net/on/demandware.static/-/Sites-pandora-master-catalog/default/dwbb259ca6/productimages/singlepackshot/793976C01_RGB.png"/>
    <hyperlink ref="D3359" r:id="rId3358" display="https://us.pandora.net/on/demandware.static/-/Sites-pandora-master-catalog/default/dwbb259ca6/productimages/singlepackshot/793978C01_RGB.png"/>
    <hyperlink ref="D3360" r:id="rId3359" display="https://us.pandora.net/on/demandware.static/-/Sites-pandora-master-catalog/default/dwbb259ca6/productimages/singlepackshot/793979C01_RGB.png"/>
    <hyperlink ref="D3361" r:id="rId3360" display="https://us.pandora.net/on/demandware.static/-/Sites-pandora-master-catalog/default/dwbb259ca6/productimages/singlepackshot/793983C01_RGB.png"/>
    <hyperlink ref="D3362" r:id="rId3361" display="https://us.pandora.net/on/demandware.static/-/Sites-pandora-master-catalog/default/dwbb259ca6/productimages/singlepackshot/793993C00_RGB.png"/>
    <hyperlink ref="D3363" r:id="rId3362" display="https://us.pandora.net/on/demandware.static/-/Sites-pandora-master-catalog/default/dwbb259ca6/productimages/singlepackshot/793994C00_RGB.png"/>
    <hyperlink ref="D3364" r:id="rId3363" display="https://us.pandora.net/on/demandware.static/-/Sites-pandora-master-catalog/default/dwbb259ca6/productimages/singlepackshot/793998C00_RGB.png"/>
    <hyperlink ref="D3365" r:id="rId3364" display="https://us.pandora.net/on/demandware.static/-/Sites-pandora-master-catalog/default/dwbb259ca6/productimages/singlepackshot/794021C01_RGB.png"/>
    <hyperlink ref="D3366" r:id="rId3365" display="https://us.pandora.net/on/demandware.static/-/Sites-pandora-master-catalog/default/dwbb259ca6/productimages/singlepackshot/794022C01_RGB.png"/>
    <hyperlink ref="D3367" r:id="rId3366" display="https://us.pandora.net/on/demandware.static/-/Sites-pandora-master-catalog/default/dwbb259ca6/productimages/singlepackshot/794024C01_RGB.png"/>
    <hyperlink ref="D3368" r:id="rId3367" display="https://us.pandora.net/on/demandware.static/-/Sites-pandora-master-catalog/default/dwbb259ca6/productimages/singlepackshot/794025C01_RGB.png"/>
    <hyperlink ref="D3369" r:id="rId3368" display="https://us.pandora.net/on/demandware.static/-/Sites-pandora-master-catalog/default/dwbb259ca6/productimages/singlepackshot/794026C01_RGB.png"/>
    <hyperlink ref="D3370" r:id="rId3369" display="https://us.pandora.net/on/demandware.static/-/Sites-pandora-master-catalog/default/dwbb259ca6/productimages/singlepackshot/794032C01_RGB.png"/>
    <hyperlink ref="D3371" r:id="rId3370" display="https://us.pandora.net/on/demandware.static/-/Sites-pandora-master-catalog/default/dwbb259ca6/productimages/singlepackshot/794040C00_RGB.png"/>
    <hyperlink ref="D3372" r:id="rId3371" display="https://us.pandora.net/on/demandware.static/-/Sites-pandora-master-catalog/default/dwbb259ca6/productimages/singlepackshot/794043C00_RGB.png"/>
    <hyperlink ref="D3373" r:id="rId3372" display="https://us.pandora.net/on/demandware.static/-/Sites-pandora-master-catalog/default/dwbb259ca6/productimages/singlepackshot/794050C00_RGB.png"/>
    <hyperlink ref="D3374" r:id="rId3373" display="https://us.pandora.net/on/demandware.static/-/Sites-pandora-master-catalog/default/dwbb259ca6/productimages/singlepackshot/794054C00_RGB.png"/>
    <hyperlink ref="D3375" r:id="rId3374" display="https://us.pandora.net/on/demandware.static/-/Sites-pandora-master-catalog/default/dwbb259ca6/productimages/singlepackshot/794056C00_RGB.png"/>
    <hyperlink ref="D3376" r:id="rId3375" display="https://us.pandora.net/on/demandware.static/-/Sites-pandora-master-catalog/default/dwbb259ca6/productimages/singlepackshot/794058C01_RGB.png"/>
    <hyperlink ref="D3377" r:id="rId3376" display="https://us.pandora.net/on/demandware.static/-/Sites-pandora-master-catalog/default/dwbb259ca6/productimages/singlepackshot/794060C01_RGB.png"/>
    <hyperlink ref="D3378" r:id="rId3377" display="https://us.pandora.net/on/demandware.static/-/Sites-pandora-master-catalog/default/dwbb259ca6/productimages/singlepackshot/794062C01_RGB.png"/>
    <hyperlink ref="D3379" r:id="rId3378" display="https://us.pandora.net/on/demandware.static/-/Sites-pandora-master-catalog/default/dwbb259ca6/productimages/singlepackshot/794063C01_RGB.png"/>
    <hyperlink ref="D3380" r:id="rId3379" display="https://us.pandora.net/on/demandware.static/-/Sites-pandora-master-catalog/default/dwbb259ca6/productimages/singlepackshot/794085C01_RGB.png"/>
    <hyperlink ref="D3381" r:id="rId3380" display="https://us.pandora.net/on/demandware.static/-/Sites-pandora-master-catalog/default/dwbb259ca6/productimages/singlepackshot/794089C01_RGB.png"/>
    <hyperlink ref="D3382" r:id="rId3381" display="https://us.pandora.net/on/demandware.static/-/Sites-pandora-master-catalog/default/dwbb259ca6/productimages/singlepackshot/794129C01_RGB.png"/>
    <hyperlink ref="D3383" r:id="rId3382" display="https://us.pandora.net/on/demandware.static/-/Sites-pandora-master-catalog/default/dwbb259ca6/productimages/singlepackshot/794140C01_RGB.png"/>
    <hyperlink ref="D3384" r:id="rId3383" display="https://us.pandora.net/on/demandware.static/-/Sites-pandora-master-catalog/default/dwbb259ca6/productimages/singlepackshot/794142C01_RGB.png"/>
    <hyperlink ref="D3385" r:id="rId3384" display="https://us.pandora.net/on/demandware.static/-/Sites-pandora-master-catalog/default/dwbb259ca6/productimages/singlepackshot/794143C01_RGB.png"/>
    <hyperlink ref="D3386" r:id="rId3385" display="https://us.pandora.net/on/demandware.static/-/Sites-pandora-master-catalog/default/dwbb259ca6/productimages/singlepackshot/794146C01_RGB.png"/>
    <hyperlink ref="D3387" r:id="rId3386" display="https://us.pandora.net/on/demandware.static/-/Sites-pandora-master-catalog/default/dwbb259ca6/productimages/singlepackshot/794161C01_RGB.png"/>
    <hyperlink ref="D3388" r:id="rId3387" display="https://us.pandora.net/on/demandware.static/-/Sites-pandora-master-catalog/default/dwbb259ca6/productimages/singlepackshot/794161C03_RGB.png"/>
    <hyperlink ref="D3389" r:id="rId3388" display="https://us.pandora.net/on/demandware.static/-/Sites-pandora-master-catalog/default/dwbb259ca6/productimages/singlepackshot/794161C04_RGB.png"/>
    <hyperlink ref="D3390" r:id="rId3389" display="https://us.pandora.net/on/demandware.static/-/Sites-pandora-master-catalog/default/dwbb259ca6/productimages/singlepackshot/794161C05_RGB.png"/>
    <hyperlink ref="D3391" r:id="rId3390" display="https://us.pandora.net/on/demandware.static/-/Sites-pandora-master-catalog/default/dwbb259ca6/productimages/singlepackshot/794161C06_RGB.png"/>
    <hyperlink ref="D3392" r:id="rId3391" display="https://us.pandora.net/on/demandware.static/-/Sites-pandora-master-catalog/default/dwbb259ca6/productimages/singlepackshot/794161C09_RGB.png"/>
    <hyperlink ref="D3393" r:id="rId3392" display="https://us.pandora.net/on/demandware.static/-/Sites-pandora-master-catalog/default/dwbb259ca6/productimages/singlepackshot/794209C01_RGB.png"/>
    <hyperlink ref="D3394" r:id="rId3393" display="https://us.pandora.net/on/demandware.static/-/Sites-pandora-master-catalog/default/dwbb259ca6/productimages/singlepackshot/794217C01_RGB.png"/>
    <hyperlink ref="D3395" r:id="rId3394" display="https://us.pandora.net/on/demandware.static/-/Sites-pandora-master-catalog/default/dwbb259ca6/productimages/singlepackshot/794218C01_RGB.png"/>
    <hyperlink ref="D3396" r:id="rId3395" display="https://us.pandora.net/on/demandware.static/-/Sites-pandora-master-catalog/default/dwbb259ca6/productimages/singlepackshot/794224C01_RGB.png"/>
    <hyperlink ref="D3397" r:id="rId3396" display="https://us.pandora.net/on/demandware.static/-/Sites-pandora-master-catalog/default/dwbb259ca6/productimages/singlepackshot/794238C01_RGB.png"/>
    <hyperlink ref="D3398" r:id="rId3397" display="https://us.pandora.net/on/demandware.static/-/Sites-pandora-master-catalog/default/dwbb259ca6/productimages/singlepackshot/794239C01_RGB.png"/>
    <hyperlink ref="D3399" r:id="rId3398" display="https://us.pandora.net/on/demandware.static/-/Sites-pandora-master-catalog/default/dwbb259ca6/productimages/singlepackshot/794240C01_RGB.png"/>
    <hyperlink ref="D3400" r:id="rId3399" display="https://us.pandora.net/on/demandware.static/-/Sites-pandora-master-catalog/default/dwbb259ca6/productimages/singlepackshot/794241C01_RGB.png"/>
    <hyperlink ref="D3401" r:id="rId3400" display="https://us.pandora.net/on/demandware.static/-/Sites-pandora-master-catalog/default/dwbb259ca6/productimages/singlepackshot/794243C01_RGB.png"/>
    <hyperlink ref="D3402" r:id="rId3401" display="https://us.pandora.net/on/demandware.static/-/Sites-pandora-master-catalog/default/dwbb259ca6/productimages/singlepackshot/794244C01_RGB.png"/>
    <hyperlink ref="D3403" r:id="rId3402" display="https://us.pandora.net/on/demandware.static/-/Sites-pandora-master-catalog/default/dwbb259ca6/productimages/singlepackshot/794245C01_RGB.png"/>
    <hyperlink ref="D3404" r:id="rId3403" display="https://us.pandora.net/on/demandware.static/-/Sites-pandora-master-catalog/default/dwbb259ca6/productimages/singlepackshot/794246C01_RGB.png"/>
    <hyperlink ref="D3405" r:id="rId3404" display="https://us.pandora.net/on/demandware.static/-/Sites-pandora-master-catalog/default/dwbb259ca6/productimages/singlepackshot/794247C01_RGB.png"/>
    <hyperlink ref="D3406" r:id="rId3405" display="https://us.pandora.net/on/demandware.static/-/Sites-pandora-master-catalog/default/dwbb259ca6/productimages/singlepackshot/794249C01_RGB.png"/>
    <hyperlink ref="D3407" r:id="rId3406" display="https://us.pandora.net/on/demandware.static/-/Sites-pandora-master-catalog/default/dwbb259ca6/productimages/singlepackshot/794250C01_RGB.png"/>
    <hyperlink ref="D3408" r:id="rId3407" display="https://us.pandora.net/on/demandware.static/-/Sites-pandora-master-catalog/default/dwbb259ca6/productimages/singlepackshot/794251C01_RGB.png"/>
    <hyperlink ref="D3409" r:id="rId3408" display="https://us.pandora.net/on/demandware.static/-/Sites-pandora-master-catalog/default/dwbb259ca6/productimages/singlepackshot/794252C01_RGB.png"/>
    <hyperlink ref="D3410" r:id="rId3409" display="https://us.pandora.net/on/demandware.static/-/Sites-pandora-master-catalog/default/dwbb259ca6/productimages/singlepackshot/794253C01_RGB.png"/>
    <hyperlink ref="D3411" r:id="rId3410" display="https://us.pandora.net/on/demandware.static/-/Sites-pandora-master-catalog/default/dwbb259ca6/productimages/singlepackshot/794254C01_RGB.png"/>
    <hyperlink ref="D3412" r:id="rId3411" display="https://us.pandora.net/on/demandware.static/-/Sites-pandora-master-catalog/default/dwbb259ca6/productimages/singlepackshot/794272C01_RGB.png"/>
    <hyperlink ref="D3413" r:id="rId3412" display="https://us.pandora.net/on/demandware.static/-/Sites-pandora-master-catalog/default/dwbb259ca6/productimages/singlepackshot/794294C01_RGB.png"/>
    <hyperlink ref="D3414" r:id="rId3413" display="https://us.pandora.net/on/demandware.static/-/Sites-pandora-master-catalog/default/dwbb259ca6/productimages/singlepackshot/794295C03_RGB.png"/>
    <hyperlink ref="D3415" r:id="rId3414" display="https://us.pandora.net/on/demandware.static/-/Sites-pandora-master-catalog/default/dwbb259ca6/productimages/singlepackshot/794377C01_RGB.png"/>
    <hyperlink ref="D3416" r:id="rId3415" display="https://us.pandora.net/on/demandware.static/-/Sites-pandora-master-catalog/default/dwbb259ca6/productimages/singlepackshot/796261PCZ_RGB.png"/>
    <hyperlink ref="D3417" r:id="rId3416" display="https://us.pandora.net/on/demandware.static/-/Sites-pandora-master-catalog/default/dwbb259ca6/productimages/singlepackshot/796457CZ_RGB.png"/>
    <hyperlink ref="D3418" r:id="rId3417" display="https://us.pandora.net/on/demandware.static/-/Sites-pandora-master-catalog/default/dwbb259ca6/productimages/singlepackshot/797012ENMX_RGB.png"/>
    <hyperlink ref="D3419" r:id="rId3418" display="https://us.pandora.net/on/demandware.static/-/Sites-pandora-master-catalog/default/dwbb259ca6/productimages/singlepackshot/797173CZR_RGB.png"/>
    <hyperlink ref="D3420" r:id="rId3419" display="https://us.pandora.net/on/demandware.static/-/Sites-pandora-master-catalog/default/dwbb259ca6/productimages/singlepackshot/797185EN160_RGB.png"/>
    <hyperlink ref="D3421" r:id="rId3420" display="https://us.pandora.net/on/demandware.static/-/Sites-pandora-master-catalog/default/dwbb259ca6/productimages/singlepackshot/797200_RGB.png"/>
    <hyperlink ref="D3422" r:id="rId3421" display="https://us.pandora.net/on/demandware.static/-/Sites-pandora-master-catalog/default/dwbb259ca6/productimages/singlepackshot/797261CZ_RGB.png"/>
    <hyperlink ref="D3423" r:id="rId3422" display="https://us.pandora.net/on/demandware.static/-/Sites-pandora-master-catalog/default/dwbb259ca6/productimages/singlepackshot/797262CZ_RGB.png"/>
    <hyperlink ref="D3424" r:id="rId3423" display="https://us.pandora.net/on/demandware.static/-/Sites-pandora-master-catalog/default/dwbb259ca6/productimages/singlepackshot/797263CZ_RGB.png"/>
    <hyperlink ref="D3425" r:id="rId3424" display="https://us.pandora.net/on/demandware.static/-/Sites-pandora-master-catalog/default/dwbb259ca6/productimages/singlepackshot/797455_RGB.png"/>
    <hyperlink ref="D3426" r:id="rId3425" display="https://us.pandora.net/on/demandware.static/-/Sites-pandora-master-catalog/default/dwbb259ca6/productimages/singlepackshot/797456_RGB.png"/>
    <hyperlink ref="D3427" r:id="rId3426" display="https://us.pandora.net/on/demandware.static/-/Sites-pandora-master-catalog/default/dwbb259ca6/productimages/singlepackshot/797457_RGB.png"/>
    <hyperlink ref="D3428" r:id="rId3427" display="https://us.pandora.net/on/demandware.static/-/Sites-pandora-master-catalog/default/dwbb259ca6/productimages/singlepackshot/797458_RGB.png"/>
    <hyperlink ref="D3429" r:id="rId3428" display="https://us.pandora.net/on/demandware.static/-/Sites-pandora-master-catalog/default/dwbb259ca6/productimages/singlepackshot/797459_RGB.png"/>
    <hyperlink ref="D3430" r:id="rId3429" display="https://us.pandora.net/on/demandware.static/-/Sites-pandora-master-catalog/default/dwbb259ca6/productimages/singlepackshot/797460_RGB.png"/>
    <hyperlink ref="D3431" r:id="rId3430" display="https://us.pandora.net/on/demandware.static/-/Sites-pandora-master-catalog/default/dwbb259ca6/productimages/singlepackshot/797461_RGB.png"/>
    <hyperlink ref="D3432" r:id="rId3431" display="https://us.pandora.net/on/demandware.static/-/Sites-pandora-master-catalog/default/dwbb259ca6/productimages/singlepackshot/797462_RGB.png"/>
    <hyperlink ref="D3433" r:id="rId3432" display="https://us.pandora.net/on/demandware.static/-/Sites-pandora-master-catalog/default/dwbb259ca6/productimages/singlepackshot/797463_RGB.png"/>
    <hyperlink ref="D3434" r:id="rId3433" display="https://us.pandora.net/on/demandware.static/-/Sites-pandora-master-catalog/default/dwbb259ca6/productimages/singlepackshot/797464_RGB.png"/>
    <hyperlink ref="D3435" r:id="rId3434" display="https://us.pandora.net/on/demandware.static/-/Sites-pandora-master-catalog/default/dwbb259ca6/productimages/singlepackshot/797465_RGB.png"/>
    <hyperlink ref="D3436" r:id="rId3435" display="https://us.pandora.net/on/demandware.static/-/Sites-pandora-master-catalog/default/dwbb259ca6/productimages/singlepackshot/797466_RGB.png"/>
    <hyperlink ref="D3437" r:id="rId3436" display="https://us.pandora.net/on/demandware.static/-/Sites-pandora-master-catalog/default/dwbb259ca6/productimages/singlepackshot/797467_RGB.png"/>
    <hyperlink ref="D3438" r:id="rId3437" display="https://us.pandora.net/on/demandware.static/-/Sites-pandora-master-catalog/default/dwbb259ca6/productimages/singlepackshot/797468_RGB.png"/>
    <hyperlink ref="D3439" r:id="rId3438" display="https://us.pandora.net/on/demandware.static/-/Sites-pandora-master-catalog/default/dwbb259ca6/productimages/singlepackshot/797469_RGB.png"/>
    <hyperlink ref="D3440" r:id="rId3439" display="https://us.pandora.net/on/demandware.static/-/Sites-pandora-master-catalog/default/dwbb259ca6/productimages/singlepackshot/797470_RGB.png"/>
    <hyperlink ref="D3441" r:id="rId3440" display="https://us.pandora.net/on/demandware.static/-/Sites-pandora-master-catalog/default/dwbb259ca6/productimages/singlepackshot/797471_RGB.png"/>
    <hyperlink ref="D3442" r:id="rId3441" display="https://us.pandora.net/on/demandware.static/-/Sites-pandora-master-catalog/default/dwbb259ca6/productimages/singlepackshot/797472_RGB.png"/>
    <hyperlink ref="D3443" r:id="rId3442" display="https://us.pandora.net/on/demandware.static/-/Sites-pandora-master-catalog/default/dwbb259ca6/productimages/singlepackshot/797473_RGB.png"/>
    <hyperlink ref="D3444" r:id="rId3443" display="https://us.pandora.net/on/demandware.static/-/Sites-pandora-master-catalog/default/dwbb259ca6/productimages/singlepackshot/797474_RGB.png"/>
    <hyperlink ref="D3445" r:id="rId3444" display="https://us.pandora.net/on/demandware.static/-/Sites-pandora-master-catalog/default/dwbb259ca6/productimages/singlepackshot/797475_RGB.png"/>
    <hyperlink ref="D3446" r:id="rId3445" display="https://us.pandora.net/on/demandware.static/-/Sites-pandora-master-catalog/default/dwbb259ca6/productimages/singlepackshot/797476_RGB.png"/>
    <hyperlink ref="D3447" r:id="rId3446" display="https://us.pandora.net/on/demandware.static/-/Sites-pandora-master-catalog/default/dwbb259ca6/productimages/singlepackshot/797477_RGB.png"/>
    <hyperlink ref="D3448" r:id="rId3447" display="https://us.pandora.net/on/demandware.static/-/Sites-pandora-master-catalog/default/dwbb259ca6/productimages/singlepackshot/797478_RGB.png"/>
    <hyperlink ref="D3449" r:id="rId3448" display="https://us.pandora.net/on/demandware.static/-/Sites-pandora-master-catalog/default/dwbb259ca6/productimages/singlepackshot/797479_RGB.png"/>
    <hyperlink ref="D3450" r:id="rId3449" display="https://us.pandora.net/on/demandware.static/-/Sites-pandora-master-catalog/default/dwbb259ca6/productimages/singlepackshot/797480_RGB.png"/>
    <hyperlink ref="D3451" r:id="rId3450" display="https://us.pandora.net/on/demandware.static/-/Sites-pandora-master-catalog/default/dwbb259ca6/productimages/singlepackshot/797516_RGB.png"/>
    <hyperlink ref="D3452" r:id="rId3451" display="https://us.pandora.net/on/demandware.static/-/Sites-pandora-master-catalog/default/dwbb259ca6/productimages/singlepackshot/797523ENMX_RGB.png"/>
    <hyperlink ref="D3453" r:id="rId3452" display="https://us.pandora.net/on/demandware.static/-/Sites-pandora-master-catalog/default/dwbb259ca6/productimages/singlepackshot/797590_RGB.png"/>
    <hyperlink ref="D3454" r:id="rId3453" display="https://us.pandora.net/on/demandware.static/-/Sites-pandora-master-catalog/default/dwbb259ca6/productimages/singlepackshot/797777EN16_RGB.png"/>
    <hyperlink ref="D3455" r:id="rId3454" display="https://us.pandora.net/on/demandware.static/-/Sites-pandora-master-catalog/default/dwbb259ca6/productimages/singlepackshot/797863ENMX_RGB.png"/>
    <hyperlink ref="D3456" r:id="rId3455" display="https://us.pandora.net/on/demandware.static/-/Sites-pandora-master-catalog/default/dwbb259ca6/productimages/singlepackshot/797868_RGB.png"/>
    <hyperlink ref="D3457" r:id="rId3456" display="https://us.pandora.net/on/demandware.static/-/Sites-pandora-master-catalog/default/dwbb259ca6/productimages/singlepackshot/797879EN09_RGB.png"/>
    <hyperlink ref="D3458" r:id="rId3457" display="https://us.pandora.net/on/demandware.static/-/Sites-pandora-master-catalog/default/dwbb259ca6/productimages/singlepackshot/797906NRGMX_RGB.png"/>
    <hyperlink ref="D3459" r:id="rId3458" display="https://us.pandora.net/on/demandware.static/-/Sites-pandora-master-catalog/default/dwbb259ca6/productimages/singlepackshot/798009EN16_RGB.png"/>
    <hyperlink ref="D3460" r:id="rId3459" display="https://us.pandora.net/on/demandware.static/-/Sites-pandora-master-catalog/default/dwbb259ca6/productimages/singlepackshot/798012FPC_RGB.png"/>
    <hyperlink ref="D3461" r:id="rId3460" display="https://us.pandora.net/on/demandware.static/-/Sites-pandora-master-catalog/default/dwbb259ca6/productimages/singlepackshot/798015ENMX_RGB.png"/>
    <hyperlink ref="D3462" r:id="rId3461" display="https://us.pandora.net/on/demandware.static/-/Sites-pandora-master-catalog/default/dwbb259ca6/productimages/singlepackshot/798016EN160_RGB.png"/>
    <hyperlink ref="D3463" r:id="rId3462" display="https://us.pandora.net/on/demandware.static/-/Sites-pandora-master-catalog/default/dwbb259ca6/productimages/singlepackshot/798021CZ_RGB.png"/>
    <hyperlink ref="D3464" r:id="rId3463" display="https://us.pandora.net/on/demandware.static/-/Sites-pandora-master-catalog/default/dwbb259ca6/productimages/singlepackshot/798027CZ_RGB.png"/>
    <hyperlink ref="D3465" r:id="rId3464" display="https://us.pandora.net/on/demandware.static/-/Sites-pandora-master-catalog/default/dwbb259ca6/productimages/singlepackshot/798035_RGB.png"/>
    <hyperlink ref="D3466" r:id="rId3465" display="https://us.pandora.net/on/demandware.static/-/Sites-pandora-master-catalog/default/dwbb259ca6/productimages/singlepackshot/798063EN124_RGB.png"/>
    <hyperlink ref="D3467" r:id="rId3466" display="https://us.pandora.net/on/demandware.static/-/Sites-pandora-master-catalog/default/dwbb259ca6/productimages/singlepackshot/798064C01_RGB.png"/>
    <hyperlink ref="D3468" r:id="rId3467" display="https://us.pandora.net/on/demandware.static/-/Sites-pandora-master-catalog/default/dwbb259ca6/productimages/singlepackshot/798064NMB_RGB.png"/>
    <hyperlink ref="D3469" r:id="rId3468" display="https://us.pandora.net/on/demandware.static/-/Sites-pandora-master-catalog/default/dwbb259ca6/productimages/singlepackshot/798076CZ_RGB.png"/>
    <hyperlink ref="D3470" r:id="rId3469" display="https://us.pandora.net/on/demandware.static/-/Sites-pandora-master-catalog/default/dwbb259ca6/productimages/singlepackshot/798081_RGB.png"/>
    <hyperlink ref="D3471" r:id="rId3470" display="https://us.pandora.net/on/demandware.static/-/Sites-pandora-master-catalog/default/dwbb259ca6/productimages/singlepackshot/798106CZ_RGB.png"/>
    <hyperlink ref="D3472" r:id="rId3471" display="https://us.pandora.net/on/demandware.static/-/Sites-pandora-master-catalog/default/dwbb259ca6/productimages/singlepackshot/798124EN16_RGB.png"/>
    <hyperlink ref="D3473" r:id="rId3472" display="https://us.pandora.net/on/demandware.static/-/Sites-pandora-master-catalog/default/dwbb259ca6/productimages/singlepackshot/798397NBCB_RGB.png"/>
    <hyperlink ref="D3474" r:id="rId3473" display="https://us.pandora.net/on/demandware.static/-/Sites-pandora-master-catalog/default/dwbb259ca6/productimages/singlepackshot/798413C00_RGB.png"/>
    <hyperlink ref="D3475" r:id="rId3474" display="https://us.pandora.net/on/demandware.static/-/Sites-pandora-master-catalog/default/dwbb259ca6/productimages/singlepackshot/798414C01_RGB.png"/>
    <hyperlink ref="D3476" r:id="rId3475" display="https://us.pandora.net/on/demandware.static/-/Sites-pandora-master-catalog/default/dwbb259ca6/productimages/singlepackshot/798415C01_RGB.png"/>
    <hyperlink ref="D3477" r:id="rId3476" display="https://us.pandora.net/on/demandware.static/-/Sites-pandora-master-catalog/default/dwbb259ca6/productimages/singlepackshot/798416C01_RGB.png"/>
    <hyperlink ref="D3478" r:id="rId3477" display="https://us.pandora.net/on/demandware.static/-/Sites-pandora-master-catalog/default/dwbb259ca6/productimages/singlepackshot/798417C01_RGB.png"/>
    <hyperlink ref="D3479" r:id="rId3478" display="https://us.pandora.net/on/demandware.static/-/Sites-pandora-master-catalog/default/dwbb259ca6/productimages/singlepackshot/798418C01_RGB.png"/>
    <hyperlink ref="D3480" r:id="rId3479" display="https://us.pandora.net/on/demandware.static/-/Sites-pandora-master-catalog/default/dwbb259ca6/productimages/singlepackshot/798419C01_RGB.png"/>
    <hyperlink ref="D3481" r:id="rId3480" display="https://us.pandora.net/on/demandware.static/-/Sites-pandora-master-catalog/default/dwbb259ca6/productimages/singlepackshot/798422C01_RGB.png"/>
    <hyperlink ref="D3482" r:id="rId3481" display="https://us.pandora.net/on/demandware.static/-/Sites-pandora-master-catalog/default/dwbb259ca6/productimages/singlepackshot/798423C01_RGB.png"/>
    <hyperlink ref="D3483" r:id="rId3482" display="https://us.pandora.net/on/demandware.static/-/Sites-pandora-master-catalog/default/dwbb259ca6/productimages/singlepackshot/798424C01_RGB.png"/>
    <hyperlink ref="D3484" r:id="rId3483" display="https://us.pandora.net/on/demandware.static/-/Sites-pandora-master-catalog/default/dwbb259ca6/productimages/singlepackshot/798426C01_RGB.png"/>
    <hyperlink ref="D3485" r:id="rId3484" display="https://us.pandora.net/on/demandware.static/-/Sites-pandora-master-catalog/default/dwbb259ca6/productimages/singlepackshot/798428C01_RGB.png"/>
    <hyperlink ref="D3486" r:id="rId3485" display="https://us.pandora.net/on/demandware.static/-/Sites-pandora-master-catalog/default/dwbb259ca6/productimages/singlepackshot/798430C01_RGB.png"/>
    <hyperlink ref="D3487" r:id="rId3486" display="https://us.pandora.net/on/demandware.static/-/Sites-pandora-master-catalog/default/dwbb259ca6/productimages/singlepackshot/798431C01_RGB.png"/>
    <hyperlink ref="D3488" r:id="rId3487" display="https://us.pandora.net/on/demandware.static/-/Sites-pandora-master-catalog/default/dwbb259ca6/productimages/singlepackshot/798434C01_RGB.png"/>
    <hyperlink ref="D3489" r:id="rId3488" display="https://us.pandora.net/on/demandware.static/-/Sites-pandora-master-catalog/default/dwbb259ca6/productimages/singlepackshot/798485C01_RGB.png"/>
    <hyperlink ref="D3490" r:id="rId3489" display="https://us.pandora.net/on/demandware.static/-/Sites-pandora-master-catalog/default/dwbb259ca6/productimages/singlepackshot/798571C00_RGB.png"/>
    <hyperlink ref="D3491" r:id="rId3490" display="https://us.pandora.net/on/demandware.static/-/Sites-pandora-master-catalog/default/dwbb259ca6/productimages/singlepackshot/798614C01_RGB.png"/>
    <hyperlink ref="D3492" r:id="rId3491" display="https://us.pandora.net/on/demandware.static/-/Sites-pandora-master-catalog/default/dwbb259ca6/productimages/singlepackshot/798692C01_RGB.png"/>
    <hyperlink ref="D3493" r:id="rId3492" display="https://us.pandora.net/on/demandware.static/-/Sites-pandora-master-catalog/default/dwbb259ca6/productimages/singlepackshot/798747C01_RGB.png"/>
    <hyperlink ref="D3494" r:id="rId3493" display="https://us.pandora.net/on/demandware.static/-/Sites-pandora-master-catalog/default/dwbb259ca6/productimages/singlepackshot/798761C01_RGB.png"/>
    <hyperlink ref="D3495" r:id="rId3494" display="https://us.pandora.net/on/demandware.static/-/Sites-pandora-master-catalog/default/dwbb259ca6/productimages/singlepackshot/798763C00_RGB.png"/>
    <hyperlink ref="D3496" r:id="rId3495" display="https://us.pandora.net/on/demandware.static/-/Sites-pandora-master-catalog/default/dwbb259ca6/productimages/singlepackshot/798764C01_RGB.png"/>
    <hyperlink ref="D3497" r:id="rId3496" display="https://us.pandora.net/on/demandware.static/-/Sites-pandora-master-catalog/default/dwbb259ca6/productimages/singlepackshot/798772C02_RGB.png"/>
    <hyperlink ref="D3498" r:id="rId3497" display="https://us.pandora.net/on/demandware.static/-/Sites-pandora-master-catalog/default/dwbb259ca6/productimages/singlepackshot/798825C00_RGB.png"/>
    <hyperlink ref="D3499" r:id="rId3498" display="https://us.pandora.net/on/demandware.static/-/Sites-pandora-master-catalog/default/dwbb259ca6/productimages/singlepackshot/798844C01_RGB.png"/>
    <hyperlink ref="D3500" r:id="rId3499" display="https://us.pandora.net/on/demandware.static/-/Sites-pandora-master-catalog/default/dwbb259ca6/productimages/singlepackshot/798848C01_RGB.png"/>
    <hyperlink ref="D3501" r:id="rId3500" display="https://us.pandora.net/on/demandware.static/-/Sites-pandora-master-catalog/default/dwbb259ca6/productimages/singlepackshot/798869C00_RGB.png"/>
    <hyperlink ref="D3502" r:id="rId3501" display="https://us.pandora.net/on/demandware.static/-/Sites-pandora-master-catalog/default/dwbb259ca6/productimages/singlepackshot/798872C00_RGB.png"/>
    <hyperlink ref="D3503" r:id="rId3502" display="https://us.pandora.net/on/demandware.static/-/Sites-pandora-master-catalog/default/dwbb259ca6/productimages/singlepackshot/798873C01_RGB.png"/>
    <hyperlink ref="D3504" r:id="rId3503" display="https://us.pandora.net/on/demandware.static/-/Sites-pandora-master-catalog/default/dwbb259ca6/productimages/singlepackshot/798875C00_RGB.png"/>
    <hyperlink ref="D3505" r:id="rId3504" display="https://us.pandora.net/on/demandware.static/-/Sites-pandora-master-catalog/default/dwbb259ca6/productimages/singlepackshot/798880C02_RGB.png"/>
    <hyperlink ref="D3506" r:id="rId3505" display="https://us.pandora.net/on/demandware.static/-/Sites-pandora-master-catalog/default/dwbb259ca6/productimages/singlepackshot/798887C01_RGB.png"/>
    <hyperlink ref="D3507" r:id="rId3506" display="https://us.pandora.net/on/demandware.static/-/Sites-pandora-master-catalog/default/dwbb259ca6/productimages/singlepackshot/798888C01_RGB.png"/>
    <hyperlink ref="D3508" r:id="rId3507" display="https://us.pandora.net/on/demandware.static/-/Sites-pandora-master-catalog/default/dwbb259ca6/productimages/singlepackshot/798896C01_RGB.png"/>
    <hyperlink ref="D3509" r:id="rId3508" display="https://us.pandora.net/on/demandware.static/-/Sites-pandora-master-catalog/default/dwbb259ca6/productimages/singlepackshot/798905C01_RGB.png"/>
    <hyperlink ref="D3510" r:id="rId3509" display="https://us.pandora.net/on/demandware.static/-/Sites-pandora-master-catalog/default/dwbb259ca6/productimages/singlepackshot/798907C01_RGB.png"/>
    <hyperlink ref="D3511" r:id="rId3510" display="https://us.pandora.net/on/demandware.static/-/Sites-pandora-master-catalog/default/dwbb259ca6/productimages/singlepackshot/798927C00_RGB.png"/>
    <hyperlink ref="D3512" r:id="rId3511" display="https://us.pandora.net/on/demandware.static/-/Sites-pandora-master-catalog/default/dwbb259ca6/productimages/singlepackshot/798938C00_RGB.png"/>
    <hyperlink ref="D3513" r:id="rId3512" display="https://us.pandora.net/on/demandware.static/-/Sites-pandora-master-catalog/default/dwbb259ca6/productimages/singlepackshot/798939C01_RGB.png"/>
    <hyperlink ref="D3514" r:id="rId3513" display="https://us.pandora.net/on/demandware.static/-/Sites-pandora-master-catalog/default/dwbb259ca6/productimages/singlepackshot/798939C02_RGB.png"/>
    <hyperlink ref="D3515" r:id="rId3514" display="https://us.pandora.net/on/demandware.static/-/Sites-pandora-master-catalog/default/dwbb259ca6/productimages/singlepackshot/798950C00_RGB.png"/>
    <hyperlink ref="D3516" r:id="rId3515" display="https://us.pandora.net/on/demandware.static/-/Sites-pandora-master-catalog/default/dwbb259ca6/productimages/singlepackshot/798962C01_RGB.png"/>
    <hyperlink ref="D3517" r:id="rId3516" display="https://us.pandora.net/on/demandware.static/-/Sites-pandora-master-catalog/default/dwbb259ca6/productimages/singlepackshot/799014C01_RGB.png"/>
    <hyperlink ref="D3518" r:id="rId3517" display="https://us.pandora.net/on/demandware.static/-/Sites-pandora-master-catalog/default/dwbb259ca6/productimages/singlepackshot/799015C01_RGB.png"/>
    <hyperlink ref="D3519" r:id="rId3518" display="https://us.pandora.net/on/demandware.static/-/Sites-pandora-master-catalog/default/dwbb259ca6/productimages/singlepackshot/799072C01_RGB.png"/>
    <hyperlink ref="D3520" r:id="rId3519" display="https://us.pandora.net/on/demandware.static/-/Sites-pandora-master-catalog/default/dwbb259ca6/productimages/singlepackshot/799088C00_RGB.png"/>
    <hyperlink ref="D3521" r:id="rId3520" display="https://us.pandora.net/on/demandware.static/-/Sites-pandora-master-catalog/default/dwbb259ca6/productimages/singlepackshot/799144C00_RGB.png"/>
    <hyperlink ref="D3522" r:id="rId3521" display="https://us.pandora.net/on/demandware.static/-/Sites-pandora-master-catalog/default/dwbb259ca6/productimages/singlepackshot/799149C00_RGB.png"/>
    <hyperlink ref="D3523" r:id="rId3522" display="https://us.pandora.net/on/demandware.static/-/Sites-pandora-master-catalog/default/dwbb259ca6/productimages/singlepackshot/799153C01_RGB.png"/>
    <hyperlink ref="D3524" r:id="rId3523" display="https://us.pandora.net/on/demandware.static/-/Sites-pandora-master-catalog/default/dwbb259ca6/productimages/singlepackshot/799157C01_RGB.png"/>
    <hyperlink ref="D3525" r:id="rId3524" display="https://us.pandora.net/on/demandware.static/-/Sites-pandora-master-catalog/default/dwbb259ca6/productimages/singlepackshot/799171C01_RGB.png"/>
    <hyperlink ref="D3526" r:id="rId3525" display="https://us.pandora.net/on/demandware.static/-/Sites-pandora-master-catalog/default/dwbb259ca6/productimages/singlepackshot/799183C00_RGB.png"/>
    <hyperlink ref="D3527" r:id="rId3526" display="https://us.pandora.net/on/demandware.static/-/Sites-pandora-master-catalog/default/dwbb259ca6/productimages/singlepackshot/799187C01_RGB.png"/>
    <hyperlink ref="D3528" r:id="rId3527" display="https://us.pandora.net/on/demandware.static/-/Sites-pandora-master-catalog/default/dwbb259ca6/productimages/singlepackshot/799212C01_RGB.png"/>
    <hyperlink ref="D3529" r:id="rId3528" display="https://us.pandora.net/on/demandware.static/-/Sites-pandora-master-catalog/default/dwbb259ca6/productimages/singlepackshot/799218C01_RGB.png"/>
    <hyperlink ref="D3530" r:id="rId3529" display="https://us.pandora.net/on/demandware.static/-/Sites-pandora-master-catalog/default/dwbb259ca6/productimages/singlepackshot/799218C02_RGB.png"/>
    <hyperlink ref="D3531" r:id="rId3530" display="https://us.pandora.net/on/demandware.static/-/Sites-pandora-master-catalog/default/dwbb259ca6/productimages/singlepackshot/799270C01_RGB.png"/>
    <hyperlink ref="D3532" r:id="rId3531" display="https://us.pandora.net/on/demandware.static/-/Sites-pandora-master-catalog/default/dwbb259ca6/productimages/singlepackshot/799293C00_RGB.png"/>
    <hyperlink ref="D3533" r:id="rId3532" display="https://us.pandora.net/on/demandware.static/-/Sites-pandora-master-catalog/default/dwbb259ca6/productimages/singlepackshot/799294C01_RGB.png"/>
    <hyperlink ref="D3534" r:id="rId3533" display="https://us.pandora.net/on/demandware.static/-/Sites-pandora-master-catalog/default/dwbb259ca6/productimages/singlepackshot/799320C01_RGB.png"/>
    <hyperlink ref="D3535" r:id="rId3534" display="https://us.pandora.net/on/demandware.static/-/Sites-pandora-master-catalog/default/dwbb259ca6/productimages/singlepackshot/799322C01_RGB.png"/>
    <hyperlink ref="D3536" r:id="rId3535" display="https://us.pandora.net/on/demandware.static/-/Sites-pandora-master-catalog/default/dwbb259ca6/productimages/singlepackshot/799352C01_RGB.png"/>
    <hyperlink ref="D3537" r:id="rId3536" display="https://us.pandora.net/on/demandware.static/-/Sites-pandora-master-catalog/default/dwbb259ca6/productimages/singlepackshot/799360C00_RGB.png"/>
    <hyperlink ref="D3538" r:id="rId3537" display="https://us.pandora.net/on/demandware.static/-/Sites-pandora-master-catalog/default/dwbb259ca6/productimages/singlepackshot/799383C01_RGB.png"/>
    <hyperlink ref="D3539" r:id="rId3538" display="https://us.pandora.net/on/demandware.static/-/Sites-pandora-master-catalog/default/dwbb259ca6/productimages/singlepackshot/799392C01_RGB.png"/>
    <hyperlink ref="D3540" r:id="rId3539" display="https://us.pandora.net/on/demandware.static/-/Sites-pandora-master-catalog/default/dwbb259ca6/productimages/singlepackshot/799393C00_RGB.png"/>
    <hyperlink ref="D3541" r:id="rId3540" display="https://us.pandora.net/on/demandware.static/-/Sites-pandora-master-catalog/default/dwbb259ca6/productimages/singlepackshot/799402C01_RGB.png"/>
    <hyperlink ref="D3542" r:id="rId3541" display="https://us.pandora.net/on/demandware.static/-/Sites-pandora-master-catalog/default/dwbb259ca6/productimages/singlepackshot/799428C01_RGB.png"/>
    <hyperlink ref="D3543" r:id="rId3542" display="https://us.pandora.net/on/demandware.static/-/Sites-pandora-master-catalog/default/dwbb259ca6/productimages/singlepackshot/799429C01_RGB.png"/>
    <hyperlink ref="D3544" r:id="rId3543" display="https://us.pandora.net/on/demandware.static/-/Sites-pandora-master-catalog/default/dwbb259ca6/productimages/singlepackshot/799435C01_RGB.png"/>
    <hyperlink ref="D3545" r:id="rId3544" display="https://us.pandora.net/on/demandware.static/-/Sites-pandora-master-catalog/default/dwbb259ca6/productimages/singlepackshot/799439C00_RGB.png"/>
    <hyperlink ref="D3546" r:id="rId3545" display="https://us.pandora.net/on/demandware.static/-/Sites-pandora-master-catalog/default/dwbb259ca6/productimages/singlepackshot/799535C00_RGB.png"/>
    <hyperlink ref="D3547" r:id="rId3546" display="https://us.pandora.net/on/demandware.static/-/Sites-pandora-master-catalog/default/dwbb259ca6/productimages/singlepackshot/799536C00_RGB.png"/>
    <hyperlink ref="D3548" r:id="rId3547" display="https://us.pandora.net/on/demandware.static/-/Sites-pandora-master-catalog/default/dwbb259ca6/productimages/singlepackshot/799538C01_RGB.png"/>
    <hyperlink ref="D3549" r:id="rId3548" display="https://us.pandora.net/on/demandware.static/-/Sites-pandora-master-catalog/default/dwbb259ca6/productimages/singlepackshot/799540C01_RGB.png"/>
    <hyperlink ref="D3550" r:id="rId3549" display="https://us.pandora.net/on/demandware.static/-/Sites-pandora-master-catalog/default/dwbb259ca6/productimages/singlepackshot/799545C01_RGB.png"/>
    <hyperlink ref="D3551" r:id="rId3550" display="https://us.pandora.net/on/demandware.static/-/Sites-pandora-master-catalog/default/dwbb259ca6/productimages/singlepackshot/799546C01_RGB.png"/>
    <hyperlink ref="D3552" r:id="rId3551" display="https://us.pandora.net/on/demandware.static/-/Sites-pandora-master-catalog/default/dwbb259ca6/productimages/singlepackshot/799599C01_RGB.png"/>
    <hyperlink ref="D3553" r:id="rId3552" display="https://us.pandora.net/on/demandware.static/-/Sites-pandora-master-catalog/default/dwbb259ca6/productimages/singlepackshot/799637C01_RGB.png"/>
    <hyperlink ref="D3554" r:id="rId3553" display="https://us.pandora.net/on/demandware.static/-/Sites-pandora-master-catalog/default/dwbb259ca6/productimages/singlepackshot/799643C01_RGB.png"/>
    <hyperlink ref="D3555" r:id="rId3554" display="https://us.pandora.net/on/demandware.static/-/Sites-pandora-master-catalog/default/dwbb259ca6/productimages/singlepackshot/799645C01_RGB.png"/>
    <hyperlink ref="D3556" r:id="rId3555" display="https://us.pandora.net/on/demandware.static/-/Sites-pandora-master-catalog/default/dwbb259ca6/productimages/singlepackshot/799646C01_RGB.png"/>
    <hyperlink ref="D3557" r:id="rId3556" display="https://us.pandora.net/on/demandware.static/-/Sites-pandora-master-catalog/default/dwbb259ca6/productimages/singlepackshot/799660C02_RGB.p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2026-01-19T16:00:44Z</dcterms:created>
  <dcterms:modified xsi:type="dcterms:W3CDTF">2026-01-20T10:18:47Z</dcterms:modified>
</cp:coreProperties>
</file>